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ain" sheetId="1" state="visible" r:id="rId2"/>
    <sheet name="Formulas" sheetId="2" state="visible" r:id="rId3"/>
    <sheet name="Calc1" sheetId="3" state="visible" r:id="rId4"/>
  </sheets>
  <definedNames>
    <definedName function="false" hidden="false" localSheetId="1" name="eqa" vbProcedure="false">Formulas!$C$2</definedName>
    <definedName function="false" hidden="false" localSheetId="1" name="ref" vbProcedure="false">Formulas!$B$25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<sst xmlns="http://schemas.openxmlformats.org/spreadsheetml/2006/main" count="231" uniqueCount="178">
  <si>
    <t xml:space="preserve">Small HF Loop Antenna Calculator ver. 1.22e</t>
  </si>
  <si>
    <t xml:space="preserve">by Steve Yates, AA5TB</t>
  </si>
  <si>
    <t xml:space="preserve">aa5tb@arrl.com</t>
  </si>
  <si>
    <t xml:space="preserve">corrections by Kai Siwiak, KE4PT</t>
  </si>
  <si>
    <t xml:space="preserve">Modified May 1, 2019 by Kai Siwiak, KE4PT.</t>
  </si>
  <si>
    <t xml:space="preserve">Added input: Conductor conductivity as a  "% of copper conductivity"</t>
  </si>
  <si>
    <t xml:space="preserve">Added display of "Q(no loss)", which equals Q(radiation)</t>
  </si>
  <si>
    <r>
      <rPr>
        <i val="true"/>
        <sz val="10"/>
        <rFont val="Arial"/>
        <family val="0"/>
      </rPr>
      <t xml:space="preserve">To </t>
    </r>
    <r>
      <rPr>
        <b val="true"/>
        <i val="true"/>
        <u val="single"/>
        <sz val="10"/>
        <rFont val="Arial"/>
        <family val="0"/>
      </rPr>
      <t xml:space="preserve">measure</t>
    </r>
    <r>
      <rPr>
        <i val="true"/>
        <sz val="10"/>
        <rFont val="Arial"/>
        <family val="0"/>
      </rPr>
      <t xml:space="preserve"> your Loop efficiency, start with </t>
    </r>
    <r>
      <rPr>
        <b val="true"/>
        <i val="true"/>
        <sz val="10"/>
        <rFont val="Arial"/>
        <family val="0"/>
      </rPr>
      <t xml:space="preserve">Note (5)</t>
    </r>
    <r>
      <rPr>
        <i val="true"/>
        <sz val="10"/>
        <rFont val="Arial"/>
        <family val="0"/>
      </rPr>
      <t xml:space="preserve"> below.</t>
    </r>
  </si>
  <si>
    <t xml:space="preserve">Corrected self capacitance term, and subtracted it from Ctune</t>
  </si>
  <si>
    <t xml:space="preserve">Added calculation of Null Depth on the Calc1 sheet</t>
  </si>
  <si>
    <t xml:space="preserve">Input the following parameters:</t>
  </si>
  <si>
    <t xml:space="preserve">Design Frequency =</t>
  </si>
  <si>
    <t xml:space="preserve">MHz</t>
  </si>
  <si>
    <t xml:space="preserve">(see NOTE 5)</t>
  </si>
  <si>
    <t xml:space="preserve">Loop Diameter =</t>
  </si>
  <si>
    <t xml:space="preserve">feet</t>
  </si>
  <si>
    <t xml:space="preserve">m</t>
  </si>
  <si>
    <t xml:space="preserve">Conductor Diameter =</t>
  </si>
  <si>
    <t xml:space="preserve">inches</t>
  </si>
  <si>
    <t xml:space="preserve">mm</t>
  </si>
  <si>
    <t xml:space="preserve">Conductor conductivity =</t>
  </si>
  <si>
    <t xml:space="preserve">% of copper conductivity</t>
  </si>
  <si>
    <t xml:space="preserve">Added Loss Resistance =</t>
  </si>
  <si>
    <t xml:space="preserve">milliohms</t>
  </si>
  <si>
    <t xml:space="preserve">RF Power = </t>
  </si>
  <si>
    <t xml:space="preserve">Watts</t>
  </si>
  <si>
    <t xml:space="preserve">Calculated Results:</t>
  </si>
  <si>
    <t xml:space="preserve">See Calc1 sheet for Null Depth =  -20log10(2*pi*D)</t>
  </si>
  <si>
    <t xml:space="preserve">Bandwidth =</t>
  </si>
  <si>
    <t xml:space="preserve">kHz (-3 dB points)</t>
  </si>
  <si>
    <t xml:space="preserve">Efficiency =</t>
  </si>
  <si>
    <t xml:space="preserve">%</t>
  </si>
  <si>
    <t xml:space="preserve">dB</t>
  </si>
  <si>
    <t xml:space="preserve">Loop Area =</t>
  </si>
  <si>
    <t xml:space="preserve">ft²</t>
  </si>
  <si>
    <t xml:space="preserve">m²</t>
  </si>
  <si>
    <t xml:space="preserve">Radiation Resistance =</t>
  </si>
  <si>
    <t xml:space="preserve">mΩ</t>
  </si>
  <si>
    <t xml:space="preserve">Total Loss Resistance =</t>
  </si>
  <si>
    <t xml:space="preserve">Loop Circumference =</t>
  </si>
  <si>
    <t xml:space="preserve">ft </t>
  </si>
  <si>
    <t xml:space="preserve">Wavelength Percentage =</t>
  </si>
  <si>
    <t xml:space="preserve">% λ</t>
  </si>
  <si>
    <t xml:space="preserve">Loop dc Inductance =</t>
  </si>
  <si>
    <t xml:space="preserve">μH</t>
  </si>
  <si>
    <t xml:space="preserve">Distributed Capacitance =</t>
  </si>
  <si>
    <r>
      <rPr>
        <sz val="10"/>
        <rFont val="Arial"/>
        <family val="0"/>
      </rPr>
      <t xml:space="preserve">pF [ </t>
    </r>
    <r>
      <rPr>
        <b val="true"/>
        <sz val="10"/>
        <rFont val="Arial"/>
        <family val="0"/>
      </rPr>
      <t xml:space="preserve">Note 6 and 7</t>
    </r>
    <r>
      <rPr>
        <sz val="10"/>
        <rFont val="Arial"/>
        <family val="0"/>
      </rPr>
      <t xml:space="preserve">]</t>
    </r>
  </si>
  <si>
    <t xml:space="preserve">QL (Quality Factor) =</t>
  </si>
  <si>
    <t xml:space="preserve">QL (no loss)            =</t>
  </si>
  <si>
    <t xml:space="preserve">Q(radiation)</t>
  </si>
  <si>
    <t xml:space="preserve">Total tuning Capacitor =</t>
  </si>
  <si>
    <t xml:space="preserve">pF</t>
  </si>
  <si>
    <t xml:space="preserve">Capacitor Voltage =</t>
  </si>
  <si>
    <t xml:space="preserve">V rms</t>
  </si>
  <si>
    <t xml:space="preserve">Minimum Plate Spacing =</t>
  </si>
  <si>
    <t xml:space="preserve">mils (1/1000 in)</t>
  </si>
  <si>
    <t xml:space="preserve">Notes:</t>
  </si>
  <si>
    <r>
      <rPr>
        <sz val="10"/>
        <rFont val="Arial"/>
        <family val="0"/>
      </rPr>
      <t xml:space="preserve">1. To truly be considered a small loop, the </t>
    </r>
    <r>
      <rPr>
        <b val="true"/>
        <sz val="10"/>
        <rFont val="Arial"/>
        <family val="0"/>
      </rPr>
      <t xml:space="preserve">Loop Circumference</t>
    </r>
    <r>
      <rPr>
        <sz val="10"/>
        <rFont val="Arial"/>
        <family val="0"/>
      </rPr>
      <t xml:space="preserve"> should be less </t>
    </r>
  </si>
  <si>
    <t xml:space="preserve">    then 10 % λ.  Larger loops will have greater efficiency but smaller nulls. </t>
  </si>
  <si>
    <r>
      <rPr>
        <sz val="10"/>
        <rFont val="Arial"/>
        <family val="0"/>
      </rPr>
      <t xml:space="preserve">2. To see the effects of bad joints, etc., input realistic values into the </t>
    </r>
    <r>
      <rPr>
        <b val="true"/>
        <sz val="10"/>
        <rFont val="Arial"/>
        <family val="0"/>
      </rPr>
      <t xml:space="preserve">Added  </t>
    </r>
  </si>
  <si>
    <r>
      <rPr>
        <b val="true"/>
        <sz val="10"/>
        <rFont val="Arial"/>
        <family val="0"/>
      </rPr>
      <t xml:space="preserve">    Loss Resistance</t>
    </r>
    <r>
      <rPr>
        <sz val="10"/>
        <rFont val="Arial"/>
        <family val="0"/>
      </rPr>
      <t xml:space="preserve"> box.</t>
    </r>
  </si>
  <si>
    <t xml:space="preserve">3. The sheets are protected to prevent the user that is unfamiliar with Excel from</t>
  </si>
  <si>
    <r>
      <rPr>
        <sz val="10"/>
        <rFont val="Arial"/>
        <family val="0"/>
      </rPr>
      <t xml:space="preserve">    accidentally</t>
    </r>
    <r>
      <rPr>
        <b val="true"/>
        <sz val="10"/>
        <rFont val="Arial"/>
        <family val="0"/>
      </rPr>
      <t xml:space="preserve"> </t>
    </r>
    <r>
      <rPr>
        <sz val="10"/>
        <rFont val="Arial"/>
        <family val="0"/>
      </rPr>
      <t xml:space="preserve">corrupting formulas.  To unlock the sheets use the password </t>
    </r>
    <r>
      <rPr>
        <b val="true"/>
        <sz val="10"/>
        <rFont val="Arial"/>
        <family val="0"/>
      </rPr>
      <t xml:space="preserve">aa5tb</t>
    </r>
    <r>
      <rPr>
        <sz val="10"/>
        <rFont val="Arial"/>
        <family val="0"/>
      </rPr>
      <t xml:space="preserve">.</t>
    </r>
  </si>
  <si>
    <t xml:space="preserve">4. This application is free to use as you wish.  If you modify it and pass it on all</t>
  </si>
  <si>
    <r>
      <rPr>
        <b val="true"/>
        <sz val="10"/>
        <rFont val="Arial"/>
        <family val="0"/>
      </rPr>
      <t xml:space="preserve">    </t>
    </r>
    <r>
      <rPr>
        <sz val="10"/>
        <rFont val="Arial"/>
        <family val="0"/>
      </rPr>
      <t xml:space="preserve">that I ask is that you give me credit for my part of the work. Thanks!</t>
    </r>
  </si>
  <si>
    <t xml:space="preserve">5. Divide your measured Q by "Q (no loss)" to find the efficiency of your loop.</t>
  </si>
  <si>
    <t xml:space="preserve">    Enter F(low), kHz, and F(high), kHz, on each side of resonance where VSWR = 2.62 </t>
  </si>
  <si>
    <t xml:space="preserve">Input:       F(low)  =</t>
  </si>
  <si>
    <t xml:space="preserve">kHz</t>
  </si>
  <si>
    <t xml:space="preserve">Input:      F(high)  =</t>
  </si>
  <si>
    <t xml:space="preserve">Center Frequency =</t>
  </si>
  <si>
    <t xml:space="preserve">Input this as "DESIGN Frequency"</t>
  </si>
  <si>
    <t xml:space="preserve">Measured Bandwidth =</t>
  </si>
  <si>
    <t xml:space="preserve">Measured Q =</t>
  </si>
  <si>
    <t xml:space="preserve">Measured efficiency =</t>
  </si>
  <si>
    <t xml:space="preserve">6.  The original distributed capacitance was an over-estimate based on Ted Hart's equation.</t>
  </si>
  <si>
    <t xml:space="preserve">7.  Corrected self capacitance based on self-resonance in Storer/Siwiak papers. C=8.92 b[meters] pF</t>
  </si>
  <si>
    <t xml:space="preserve">Small Loop Equations for a Copper Loop</t>
  </si>
  <si>
    <t xml:space="preserve">(circular loop assumed, results may vary with other shapes) </t>
  </si>
  <si>
    <r>
      <rPr>
        <sz val="10"/>
        <rFont val="Comic Sans MS"/>
        <family val="4"/>
      </rPr>
      <t xml:space="preserve">Radiation Resistance, Ohms: R</t>
    </r>
    <r>
      <rPr>
        <sz val="7.5"/>
        <rFont val="Comic Sans MS"/>
        <family val="4"/>
      </rPr>
      <t xml:space="preserve">R</t>
    </r>
    <r>
      <rPr>
        <sz val="10"/>
        <rFont val="Comic Sans MS"/>
        <family val="4"/>
      </rPr>
      <t xml:space="preserve"> = (3.38×10↑-8)(f²A)²</t>
    </r>
  </si>
  <si>
    <r>
      <rPr>
        <sz val="10"/>
        <rFont val="Comic Sans MS"/>
        <family val="4"/>
      </rPr>
      <t xml:space="preserve">Loss Resistance, Ohms: R</t>
    </r>
    <r>
      <rPr>
        <sz val="7.5"/>
        <rFont val="Comic Sans MS"/>
        <family val="4"/>
      </rPr>
      <t xml:space="preserve">L</t>
    </r>
    <r>
      <rPr>
        <sz val="10"/>
        <rFont val="Comic Sans MS"/>
        <family val="4"/>
      </rPr>
      <t xml:space="preserve"> = (9.96×10↑-4)(√f)(S/d)</t>
    </r>
  </si>
  <si>
    <t xml:space="preserve">assumes bulk copper 58x10^6 mho/m conductivity</t>
  </si>
  <si>
    <r>
      <rPr>
        <sz val="10"/>
        <rFont val="Comic Sans MS"/>
        <family val="4"/>
      </rPr>
      <t xml:space="preserve">Efficiency: η = R</t>
    </r>
    <r>
      <rPr>
        <sz val="7.5"/>
        <rFont val="Comic Sans MS"/>
        <family val="4"/>
      </rPr>
      <t xml:space="preserve">R</t>
    </r>
    <r>
      <rPr>
        <sz val="10"/>
        <rFont val="Comic Sans MS"/>
        <family val="4"/>
      </rPr>
      <t xml:space="preserve">/(R</t>
    </r>
    <r>
      <rPr>
        <sz val="7.5"/>
        <rFont val="Comic Sans MS"/>
        <family val="4"/>
      </rPr>
      <t xml:space="preserve">R</t>
    </r>
    <r>
      <rPr>
        <sz val="10"/>
        <rFont val="Comic Sans MS"/>
        <family val="4"/>
      </rPr>
      <t xml:space="preserve">+R</t>
    </r>
    <r>
      <rPr>
        <sz val="7.5"/>
        <rFont val="Comic Sans MS"/>
        <family val="4"/>
      </rPr>
      <t xml:space="preserve">L</t>
    </r>
    <r>
      <rPr>
        <sz val="10"/>
        <rFont val="Comic Sans MS"/>
        <family val="4"/>
      </rPr>
      <t xml:space="preserve">)</t>
    </r>
  </si>
  <si>
    <r>
      <rPr>
        <sz val="10"/>
        <rFont val="Comic Sans MS"/>
        <family val="4"/>
      </rPr>
      <t xml:space="preserve">Inductance, Henrys: L = (1.9×10↑-8)S[7.353log</t>
    </r>
    <r>
      <rPr>
        <sz val="7.5"/>
        <rFont val="Comic Sans MS"/>
        <family val="4"/>
      </rPr>
      <t xml:space="preserve">10</t>
    </r>
    <r>
      <rPr>
        <sz val="10"/>
        <rFont val="Comic Sans MS"/>
        <family val="4"/>
      </rPr>
      <t xml:space="preserve">(96S/πd)-6.386]</t>
    </r>
  </si>
  <si>
    <r>
      <rPr>
        <sz val="10"/>
        <rFont val="Comic Sans MS"/>
        <family val="4"/>
      </rPr>
      <t xml:space="preserve">Inductive Reactance, Ohms: X</t>
    </r>
    <r>
      <rPr>
        <sz val="7.5"/>
        <rFont val="Comic Sans MS"/>
        <family val="4"/>
      </rPr>
      <t xml:space="preserve">L</t>
    </r>
    <r>
      <rPr>
        <sz val="10"/>
        <rFont val="Comic Sans MS"/>
        <family val="4"/>
      </rPr>
      <t xml:space="preserve"> = 2πf(L×10↑6)</t>
    </r>
  </si>
  <si>
    <r>
      <rPr>
        <sz val="10"/>
        <rFont val="Comic Sans MS"/>
        <family val="4"/>
      </rPr>
      <t xml:space="preserve">Tuning Capacitance, Farads: C</t>
    </r>
    <r>
      <rPr>
        <sz val="7.5"/>
        <rFont val="Comic Sans MS"/>
        <family val="4"/>
      </rPr>
      <t xml:space="preserve">T</t>
    </r>
    <r>
      <rPr>
        <sz val="10"/>
        <rFont val="Comic Sans MS"/>
        <family val="4"/>
      </rPr>
      <t xml:space="preserve"> = 1/2πf(X</t>
    </r>
    <r>
      <rPr>
        <sz val="8"/>
        <rFont val="Comic Sans MS"/>
        <family val="4"/>
      </rPr>
      <t xml:space="preserve">L</t>
    </r>
    <r>
      <rPr>
        <sz val="10"/>
        <rFont val="Comic Sans MS"/>
        <family val="4"/>
      </rPr>
      <t xml:space="preserve">×10↑6)</t>
    </r>
  </si>
  <si>
    <t xml:space="preserve">This includes the distributed capacitance</t>
  </si>
  <si>
    <r>
      <rPr>
        <sz val="10"/>
        <rFont val="Comic Sans MS"/>
        <family val="4"/>
      </rPr>
      <t xml:space="preserve">Quality Factor: Q = (f×10↑6)/Δf = X</t>
    </r>
    <r>
      <rPr>
        <sz val="7.5"/>
        <rFont val="Comic Sans MS"/>
        <family val="4"/>
      </rPr>
      <t xml:space="preserve">L</t>
    </r>
    <r>
      <rPr>
        <sz val="10"/>
        <rFont val="Comic Sans MS"/>
        <family val="4"/>
      </rPr>
      <t xml:space="preserve">/2(R</t>
    </r>
    <r>
      <rPr>
        <sz val="7.5"/>
        <rFont val="Comic Sans MS"/>
        <family val="4"/>
      </rPr>
      <t xml:space="preserve">R</t>
    </r>
    <r>
      <rPr>
        <sz val="10"/>
        <rFont val="Comic Sans MS"/>
        <family val="4"/>
      </rPr>
      <t xml:space="preserve"> + R</t>
    </r>
    <r>
      <rPr>
        <sz val="7.5"/>
        <rFont val="Comic Sans MS"/>
        <family val="4"/>
      </rPr>
      <t xml:space="preserve">L</t>
    </r>
    <r>
      <rPr>
        <sz val="10"/>
        <rFont val="Comic Sans MS"/>
        <family val="4"/>
      </rPr>
      <t xml:space="preserve">)</t>
    </r>
  </si>
  <si>
    <r>
      <rPr>
        <sz val="10"/>
        <rFont val="Comic Sans MS"/>
        <family val="4"/>
      </rPr>
      <t xml:space="preserve">Bandwidth, Hertz: Δf = (f×10↑6)/Q = [(f</t>
    </r>
    <r>
      <rPr>
        <sz val="7.5"/>
        <rFont val="Comic Sans MS"/>
        <family val="4"/>
      </rPr>
      <t xml:space="preserve">1</t>
    </r>
    <r>
      <rPr>
        <sz val="10"/>
        <rFont val="Comic Sans MS"/>
        <family val="4"/>
      </rPr>
      <t xml:space="preserve">-f</t>
    </r>
    <r>
      <rPr>
        <sz val="7.5"/>
        <rFont val="Comic Sans MS"/>
        <family val="4"/>
      </rPr>
      <t xml:space="preserve">2</t>
    </r>
    <r>
      <rPr>
        <sz val="10"/>
        <rFont val="Comic Sans MS"/>
        <family val="4"/>
      </rPr>
      <t xml:space="preserve">)×10↑6]</t>
    </r>
  </si>
  <si>
    <r>
      <rPr>
        <sz val="10"/>
        <rFont val="Comic Sans MS"/>
        <family val="4"/>
      </rPr>
      <t xml:space="preserve">Distributed Capacity: pF: C</t>
    </r>
    <r>
      <rPr>
        <sz val="7.5"/>
        <rFont val="Comic Sans MS"/>
        <family val="4"/>
      </rPr>
      <t xml:space="preserve">D</t>
    </r>
    <r>
      <rPr>
        <sz val="10"/>
        <rFont val="Comic Sans MS"/>
        <family val="4"/>
      </rPr>
      <t xml:space="preserve"> = </t>
    </r>
    <r>
      <rPr>
        <sz val="10"/>
        <color rgb="FFCE181E"/>
        <rFont val="Comic Sans MS"/>
        <family val="4"/>
      </rPr>
      <t xml:space="preserve">8.92 * radius</t>
    </r>
  </si>
  <si>
    <t xml:space="preserve">see Note 7</t>
  </si>
  <si>
    <r>
      <rPr>
        <sz val="10"/>
        <rFont val="Comic Sans MS"/>
        <family val="4"/>
      </rPr>
      <t xml:space="preserve">Capacitor Potential, Volts: V</t>
    </r>
    <r>
      <rPr>
        <sz val="7.5"/>
        <rFont val="Comic Sans MS"/>
        <family val="4"/>
      </rPr>
      <t xml:space="preserve">C</t>
    </r>
    <r>
      <rPr>
        <sz val="10"/>
        <rFont val="Comic Sans MS"/>
        <family val="4"/>
      </rPr>
      <t xml:space="preserve"> = √(PX</t>
    </r>
    <r>
      <rPr>
        <sz val="7.5"/>
        <rFont val="Comic Sans MS"/>
        <family val="4"/>
      </rPr>
      <t xml:space="preserve">L</t>
    </r>
    <r>
      <rPr>
        <sz val="10"/>
        <rFont val="Comic Sans MS"/>
        <family val="4"/>
      </rPr>
      <t xml:space="preserve">Q)</t>
    </r>
  </si>
  <si>
    <t xml:space="preserve">This is the RMS value</t>
  </si>
  <si>
    <t xml:space="preserve">Capacitor Voltage Rating: 75,000V/in</t>
  </si>
  <si>
    <t xml:space="preserve">Null Depth =  -20log10(2*pi*D)</t>
  </si>
  <si>
    <t xml:space="preserve">where </t>
  </si>
  <si>
    <t xml:space="preserve">f = operating frequency, MHz</t>
  </si>
  <si>
    <t xml:space="preserve">A = area of loop, square feet</t>
  </si>
  <si>
    <t xml:space="preserve">S = conductor length, feet</t>
  </si>
  <si>
    <t xml:space="preserve">d = conductor diameter, inches</t>
  </si>
  <si>
    <r>
      <rPr>
        <sz val="10"/>
        <rFont val="Comic Sans MS"/>
        <family val="4"/>
      </rPr>
      <t xml:space="preserve">η = decimal value; dB = 10 log</t>
    </r>
    <r>
      <rPr>
        <sz val="7.5"/>
        <rFont val="Comic Sans MS"/>
        <family val="4"/>
      </rPr>
      <t xml:space="preserve">10</t>
    </r>
    <r>
      <rPr>
        <sz val="10"/>
        <rFont val="Comic Sans MS"/>
        <family val="4"/>
      </rPr>
      <t xml:space="preserve">η</t>
    </r>
  </si>
  <si>
    <t xml:space="preserve">P = transmitter power, Watts</t>
  </si>
  <si>
    <t xml:space="preserve">D = loop diameter, meters</t>
  </si>
  <si>
    <t xml:space="preserve">Ref. </t>
  </si>
  <si>
    <t xml:space="preserve">The American Radio Relay League, The ARRL Antenna Handbook, </t>
  </si>
  <si>
    <t xml:space="preserve">Small High Efficiency Loop Antennas for Transmitting,  </t>
  </si>
  <si>
    <t xml:space="preserve">Publication No. 15, p. 5-14, Table 4, 1988</t>
  </si>
  <si>
    <t xml:space="preserve">Givens:</t>
  </si>
  <si>
    <r>
      <rPr>
        <b val="true"/>
        <sz val="10"/>
        <rFont val="Arial"/>
        <family val="0"/>
      </rPr>
      <t xml:space="preserve">π</t>
    </r>
    <r>
      <rPr>
        <sz val="10"/>
        <rFont val="Arial"/>
        <family val="0"/>
      </rPr>
      <t xml:space="preserve"> =</t>
    </r>
  </si>
  <si>
    <t xml:space="preserve">Null constant pi*D</t>
  </si>
  <si>
    <r>
      <rPr>
        <sz val="10"/>
        <rFont val="Arial"/>
        <family val="0"/>
      </rPr>
      <t xml:space="preserve">Loop Diameter </t>
    </r>
    <r>
      <rPr>
        <b val="true"/>
        <sz val="10"/>
        <rFont val="Arial"/>
        <family val="0"/>
      </rPr>
      <t xml:space="preserve">D</t>
    </r>
    <r>
      <rPr>
        <sz val="10"/>
        <rFont val="Arial"/>
        <family val="0"/>
      </rPr>
      <t xml:space="preserve">=</t>
    </r>
  </si>
  <si>
    <r>
      <rPr>
        <sz val="10"/>
        <rFont val="Arial"/>
        <family val="0"/>
      </rPr>
      <t xml:space="preserve">Conductor Diameter </t>
    </r>
    <r>
      <rPr>
        <b val="true"/>
        <sz val="10"/>
        <rFont val="Arial"/>
        <family val="0"/>
      </rPr>
      <t xml:space="preserve">d</t>
    </r>
    <r>
      <rPr>
        <sz val="10"/>
        <rFont val="Arial"/>
        <family val="0"/>
      </rPr>
      <t xml:space="preserve">=</t>
    </r>
  </si>
  <si>
    <r>
      <rPr>
        <sz val="10"/>
        <rFont val="Arial"/>
        <family val="0"/>
      </rPr>
      <t xml:space="preserve">Added Loss Resistance </t>
    </r>
    <r>
      <rPr>
        <b val="true"/>
        <sz val="10"/>
        <rFont val="Arial"/>
        <family val="0"/>
      </rPr>
      <t xml:space="preserve">R</t>
    </r>
    <r>
      <rPr>
        <b val="true"/>
        <sz val="8"/>
        <rFont val="Arial"/>
        <family val="0"/>
      </rPr>
      <t xml:space="preserve">L</t>
    </r>
    <r>
      <rPr>
        <sz val="10"/>
        <rFont val="Arial"/>
        <family val="0"/>
      </rPr>
      <t xml:space="preserve">=</t>
    </r>
  </si>
  <si>
    <t xml:space="preserve">Ω</t>
  </si>
  <si>
    <r>
      <rPr>
        <sz val="10"/>
        <rFont val="Arial"/>
        <family val="0"/>
      </rPr>
      <t xml:space="preserve">RF Power </t>
    </r>
    <r>
      <rPr>
        <b val="true"/>
        <sz val="10"/>
        <rFont val="Arial"/>
        <family val="0"/>
      </rPr>
      <t xml:space="preserve">P</t>
    </r>
    <r>
      <rPr>
        <sz val="10"/>
        <rFont val="Arial"/>
        <family val="0"/>
      </rPr>
      <t xml:space="preserve">=</t>
    </r>
  </si>
  <si>
    <r>
      <rPr>
        <sz val="10"/>
        <rFont val="Arial"/>
        <family val="0"/>
      </rPr>
      <t xml:space="preserve">Frequency </t>
    </r>
    <r>
      <rPr>
        <b val="true"/>
        <sz val="10"/>
        <rFont val="Arial"/>
        <family val="0"/>
      </rPr>
      <t xml:space="preserve">F</t>
    </r>
    <r>
      <rPr>
        <sz val="10"/>
        <rFont val="Arial"/>
        <family val="0"/>
      </rPr>
      <t xml:space="preserve">=</t>
    </r>
  </si>
  <si>
    <t xml:space="preserve">Hz</t>
  </si>
  <si>
    <t xml:space="preserve">Calculations:</t>
  </si>
  <si>
    <r>
      <rPr>
        <sz val="10"/>
        <rFont val="Arial"/>
        <family val="0"/>
      </rPr>
      <t xml:space="preserve">Loop Circumference </t>
    </r>
    <r>
      <rPr>
        <b val="true"/>
        <sz val="10"/>
        <rFont val="Arial"/>
        <family val="0"/>
      </rPr>
      <t xml:space="preserve">S</t>
    </r>
    <r>
      <rPr>
        <sz val="10"/>
        <rFont val="Arial"/>
        <family val="0"/>
      </rPr>
      <t xml:space="preserve">= </t>
    </r>
  </si>
  <si>
    <t xml:space="preserve">ft</t>
  </si>
  <si>
    <r>
      <rPr>
        <sz val="10"/>
        <rFont val="Arial"/>
        <family val="0"/>
      </rPr>
      <t xml:space="preserve">Loop Area </t>
    </r>
    <r>
      <rPr>
        <b val="true"/>
        <sz val="10"/>
        <rFont val="Arial"/>
        <family val="0"/>
      </rPr>
      <t xml:space="preserve">A</t>
    </r>
    <r>
      <rPr>
        <sz val="10"/>
        <rFont val="Arial"/>
        <family val="0"/>
      </rPr>
      <t xml:space="preserve">=</t>
    </r>
  </si>
  <si>
    <r>
      <rPr>
        <sz val="10"/>
        <rFont val="Arial"/>
        <family val="0"/>
      </rPr>
      <t xml:space="preserve">Radiation Resistance </t>
    </r>
    <r>
      <rPr>
        <b val="true"/>
        <sz val="10"/>
        <rFont val="Arial"/>
        <family val="0"/>
      </rPr>
      <t xml:space="preserve">R</t>
    </r>
    <r>
      <rPr>
        <b val="true"/>
        <sz val="8"/>
        <rFont val="Arial"/>
        <family val="0"/>
      </rPr>
      <t xml:space="preserve">R</t>
    </r>
    <r>
      <rPr>
        <sz val="10"/>
        <rFont val="Arial"/>
        <family val="0"/>
      </rPr>
      <t xml:space="preserve">=</t>
    </r>
  </si>
  <si>
    <r>
      <rPr>
        <sz val="10"/>
        <rFont val="Arial"/>
        <family val="0"/>
      </rPr>
      <t xml:space="preserve">Loss Resistance </t>
    </r>
    <r>
      <rPr>
        <b val="true"/>
        <sz val="10"/>
        <rFont val="Arial"/>
        <family val="0"/>
      </rPr>
      <t xml:space="preserve">R</t>
    </r>
    <r>
      <rPr>
        <b val="true"/>
        <sz val="8"/>
        <rFont val="Arial"/>
        <family val="0"/>
      </rPr>
      <t xml:space="preserve">L=</t>
    </r>
  </si>
  <si>
    <r>
      <rPr>
        <sz val="10"/>
        <rFont val="Arial"/>
        <family val="0"/>
      </rPr>
      <t xml:space="preserve">Total Loss Resistance </t>
    </r>
    <r>
      <rPr>
        <b val="true"/>
        <sz val="10"/>
        <rFont val="Arial"/>
        <family val="0"/>
      </rPr>
      <t xml:space="preserve">R</t>
    </r>
    <r>
      <rPr>
        <b val="true"/>
        <sz val="8"/>
        <rFont val="Arial"/>
        <family val="0"/>
      </rPr>
      <t xml:space="preserve">T</t>
    </r>
    <r>
      <rPr>
        <sz val="10"/>
        <rFont val="Arial"/>
        <family val="0"/>
      </rPr>
      <t xml:space="preserve">=</t>
    </r>
  </si>
  <si>
    <r>
      <rPr>
        <sz val="10"/>
        <rFont val="Arial"/>
        <family val="0"/>
      </rPr>
      <t xml:space="preserve">Efficiency </t>
    </r>
    <r>
      <rPr>
        <b val="true"/>
        <sz val="10"/>
        <rFont val="Arial"/>
        <family val="0"/>
      </rPr>
      <t xml:space="preserve">η</t>
    </r>
    <r>
      <rPr>
        <sz val="10"/>
        <rFont val="Arial"/>
        <family val="0"/>
      </rPr>
      <t xml:space="preserve">=</t>
    </r>
  </si>
  <si>
    <r>
      <rPr>
        <sz val="10"/>
        <rFont val="Arial"/>
        <family val="0"/>
      </rPr>
      <t xml:space="preserve">Inductance </t>
    </r>
    <r>
      <rPr>
        <b val="true"/>
        <sz val="10"/>
        <rFont val="Arial"/>
        <family val="0"/>
      </rPr>
      <t xml:space="preserve">L</t>
    </r>
    <r>
      <rPr>
        <sz val="10"/>
        <rFont val="Arial"/>
        <family val="0"/>
      </rPr>
      <t xml:space="preserve">=</t>
    </r>
  </si>
  <si>
    <t xml:space="preserve">H</t>
  </si>
  <si>
    <r>
      <rPr>
        <sz val="10"/>
        <rFont val="Arial"/>
        <family val="0"/>
      </rPr>
      <t xml:space="preserve">Inductive Reactance </t>
    </r>
    <r>
      <rPr>
        <b val="true"/>
        <sz val="10"/>
        <rFont val="Arial"/>
        <family val="0"/>
      </rPr>
      <t xml:space="preserve">X</t>
    </r>
    <r>
      <rPr>
        <b val="true"/>
        <sz val="8"/>
        <rFont val="Arial"/>
        <family val="0"/>
      </rPr>
      <t xml:space="preserve">L</t>
    </r>
    <r>
      <rPr>
        <sz val="10"/>
        <rFont val="Arial"/>
        <family val="0"/>
      </rPr>
      <t xml:space="preserve">=</t>
    </r>
  </si>
  <si>
    <r>
      <rPr>
        <sz val="10"/>
        <rFont val="Arial"/>
        <family val="0"/>
      </rPr>
      <t xml:space="preserve">Tuning Capacitor </t>
    </r>
    <r>
      <rPr>
        <b val="true"/>
        <sz val="10"/>
        <rFont val="Arial"/>
        <family val="0"/>
      </rPr>
      <t xml:space="preserve">C</t>
    </r>
    <r>
      <rPr>
        <b val="true"/>
        <sz val="8"/>
        <rFont val="Arial"/>
        <family val="0"/>
      </rPr>
      <t xml:space="preserve">T</t>
    </r>
    <r>
      <rPr>
        <sz val="10"/>
        <rFont val="Arial"/>
        <family val="0"/>
      </rPr>
      <t xml:space="preserve">=</t>
    </r>
  </si>
  <si>
    <t xml:space="preserve">F</t>
  </si>
  <si>
    <t xml:space="preserve">ρF</t>
  </si>
  <si>
    <t xml:space="preserve">This is the tuning + distributed capacitance</t>
  </si>
  <si>
    <r>
      <rPr>
        <sz val="10"/>
        <rFont val="Arial"/>
        <family val="0"/>
      </rPr>
      <t xml:space="preserve">(loaded) Quality Factor </t>
    </r>
    <r>
      <rPr>
        <b val="true"/>
        <sz val="10"/>
        <rFont val="Arial"/>
        <family val="0"/>
      </rPr>
      <t xml:space="preserve">Q</t>
    </r>
    <r>
      <rPr>
        <sz val="10"/>
        <rFont val="Arial"/>
        <family val="0"/>
      </rPr>
      <t xml:space="preserve">=</t>
    </r>
  </si>
  <si>
    <t xml:space="preserve">Q(no loss)    =</t>
  </si>
  <si>
    <r>
      <rPr>
        <sz val="10"/>
        <rFont val="Arial"/>
        <family val="0"/>
      </rPr>
      <t xml:space="preserve">Bandwidth </t>
    </r>
    <r>
      <rPr>
        <b val="true"/>
        <sz val="8"/>
        <rFont val="Arial"/>
        <family val="0"/>
      </rPr>
      <t xml:space="preserve">Δ</t>
    </r>
    <r>
      <rPr>
        <b val="true"/>
        <sz val="10"/>
        <rFont val="Arial"/>
        <family val="0"/>
      </rPr>
      <t xml:space="preserve">F</t>
    </r>
    <r>
      <rPr>
        <sz val="10"/>
        <rFont val="Arial"/>
        <family val="0"/>
      </rPr>
      <t xml:space="preserve">= </t>
    </r>
  </si>
  <si>
    <r>
      <rPr>
        <sz val="10"/>
        <rFont val="Arial"/>
        <family val="0"/>
      </rPr>
      <t xml:space="preserve">Distributed Capacity</t>
    </r>
    <r>
      <rPr>
        <b val="true"/>
        <sz val="10"/>
        <rFont val="Arial"/>
        <family val="0"/>
      </rPr>
      <t xml:space="preserve"> C</t>
    </r>
    <r>
      <rPr>
        <b val="true"/>
        <sz val="8"/>
        <rFont val="Arial"/>
        <family val="0"/>
      </rPr>
      <t xml:space="preserve">D</t>
    </r>
    <r>
      <rPr>
        <sz val="10"/>
        <rFont val="Arial"/>
        <family val="0"/>
      </rPr>
      <t xml:space="preserve">=</t>
    </r>
  </si>
  <si>
    <t xml:space="preserve">corrected/ Kai CD=8.92*radius</t>
  </si>
  <si>
    <r>
      <rPr>
        <sz val="10"/>
        <rFont val="Arial"/>
        <family val="0"/>
      </rPr>
      <t xml:space="preserve">Capacitor Potential </t>
    </r>
    <r>
      <rPr>
        <b val="true"/>
        <sz val="10"/>
        <rFont val="Arial"/>
        <family val="0"/>
      </rPr>
      <t xml:space="preserve">V</t>
    </r>
    <r>
      <rPr>
        <b val="true"/>
        <sz val="8"/>
        <rFont val="Arial"/>
        <family val="0"/>
      </rPr>
      <t xml:space="preserve">C</t>
    </r>
    <r>
      <rPr>
        <sz val="10"/>
        <rFont val="Arial"/>
        <family val="0"/>
      </rPr>
      <t xml:space="preserve">=</t>
    </r>
  </si>
  <si>
    <t xml:space="preserve">V</t>
  </si>
  <si>
    <r>
      <rPr>
        <sz val="10"/>
        <rFont val="Arial"/>
        <family val="0"/>
      </rPr>
      <t xml:space="preserve">Minimum Plate Spacing </t>
    </r>
    <r>
      <rPr>
        <b val="true"/>
        <sz val="10"/>
        <rFont val="Arial"/>
        <family val="0"/>
      </rPr>
      <t xml:space="preserve">P</t>
    </r>
    <r>
      <rPr>
        <b val="true"/>
        <sz val="8"/>
        <rFont val="Arial"/>
        <family val="0"/>
      </rPr>
      <t xml:space="preserve">S</t>
    </r>
    <r>
      <rPr>
        <sz val="10"/>
        <rFont val="Arial"/>
        <family val="0"/>
      </rPr>
      <t xml:space="preserve">=</t>
    </r>
  </si>
  <si>
    <t xml:space="preserve">in</t>
  </si>
  <si>
    <t xml:space="preserve">mils</t>
  </si>
  <si>
    <r>
      <rPr>
        <sz val="10"/>
        <rFont val="Arial"/>
        <family val="0"/>
      </rPr>
      <t xml:space="preserve">Wavelength </t>
    </r>
    <r>
      <rPr>
        <b val="true"/>
        <sz val="10"/>
        <rFont val="Arial"/>
        <family val="0"/>
      </rPr>
      <t xml:space="preserve">λ</t>
    </r>
    <r>
      <rPr>
        <sz val="10"/>
        <rFont val="Arial"/>
        <family val="0"/>
      </rPr>
      <t xml:space="preserve">=</t>
    </r>
  </si>
  <si>
    <r>
      <rPr>
        <sz val="10"/>
        <rFont val="Arial"/>
        <family val="0"/>
      </rPr>
      <t xml:space="preserve">Circumference % </t>
    </r>
    <r>
      <rPr>
        <b val="true"/>
        <sz val="10"/>
        <rFont val="Arial"/>
        <family val="0"/>
      </rPr>
      <t xml:space="preserve">λ</t>
    </r>
    <r>
      <rPr>
        <sz val="10"/>
        <rFont val="Arial"/>
        <family val="0"/>
      </rPr>
      <t xml:space="preserve">=</t>
    </r>
  </si>
  <si>
    <t xml:space="preserve">Radiation</t>
  </si>
  <si>
    <t xml:space="preserve">Loss</t>
  </si>
  <si>
    <t xml:space="preserve">Total Loss</t>
  </si>
  <si>
    <t xml:space="preserve">Inductive</t>
  </si>
  <si>
    <t xml:space="preserve">Tuning</t>
  </si>
  <si>
    <t xml:space="preserve">Quality</t>
  </si>
  <si>
    <t xml:space="preserve">Capacitor</t>
  </si>
  <si>
    <t xml:space="preserve">Minimum</t>
  </si>
  <si>
    <t xml:space="preserve">Frequency</t>
  </si>
  <si>
    <t xml:space="preserve">Resistance</t>
  </si>
  <si>
    <t xml:space="preserve">Efficiency</t>
  </si>
  <si>
    <t xml:space="preserve">Reactance</t>
  </si>
  <si>
    <t xml:space="preserve">Factor</t>
  </si>
  <si>
    <t xml:space="preserve">Bandwidth</t>
  </si>
  <si>
    <t xml:space="preserve">Potential</t>
  </si>
  <si>
    <t xml:space="preserve">Spacing</t>
  </si>
  <si>
    <t xml:space="preserve">Wavelength</t>
  </si>
  <si>
    <t xml:space="preserve">Circumference</t>
  </si>
  <si>
    <t xml:space="preserve">Qradiation=</t>
  </si>
  <si>
    <t xml:space="preserve">Null Depth, dB</t>
  </si>
  <si>
    <r>
      <rPr>
        <b val="true"/>
        <sz val="10"/>
        <rFont val="Arial"/>
        <family val="0"/>
      </rPr>
      <t xml:space="preserve">R</t>
    </r>
    <r>
      <rPr>
        <b val="true"/>
        <sz val="8"/>
        <rFont val="Arial"/>
        <family val="0"/>
      </rPr>
      <t xml:space="preserve">R</t>
    </r>
  </si>
  <si>
    <r>
      <rPr>
        <b val="true"/>
        <sz val="10"/>
        <rFont val="Arial"/>
        <family val="0"/>
      </rPr>
      <t xml:space="preserve">R</t>
    </r>
    <r>
      <rPr>
        <b val="true"/>
        <sz val="8"/>
        <rFont val="Arial"/>
        <family val="0"/>
      </rPr>
      <t xml:space="preserve">L</t>
    </r>
  </si>
  <si>
    <r>
      <rPr>
        <b val="true"/>
        <sz val="10"/>
        <rFont val="Arial"/>
        <family val="0"/>
      </rPr>
      <t xml:space="preserve">R</t>
    </r>
    <r>
      <rPr>
        <b val="true"/>
        <sz val="8"/>
        <rFont val="Arial"/>
        <family val="0"/>
      </rPr>
      <t xml:space="preserve">T</t>
    </r>
  </si>
  <si>
    <t xml:space="preserve">η</t>
  </si>
  <si>
    <r>
      <rPr>
        <b val="true"/>
        <sz val="10"/>
        <rFont val="Arial"/>
        <family val="0"/>
      </rPr>
      <t xml:space="preserve">X</t>
    </r>
    <r>
      <rPr>
        <b val="true"/>
        <sz val="8"/>
        <rFont val="Arial"/>
        <family val="0"/>
      </rPr>
      <t xml:space="preserve">L</t>
    </r>
  </si>
  <si>
    <r>
      <rPr>
        <b val="true"/>
        <sz val="10"/>
        <rFont val="Arial"/>
        <family val="0"/>
      </rPr>
      <t xml:space="preserve">C</t>
    </r>
    <r>
      <rPr>
        <b val="true"/>
        <sz val="8"/>
        <rFont val="Arial"/>
        <family val="0"/>
      </rPr>
      <t xml:space="preserve">T</t>
    </r>
  </si>
  <si>
    <t xml:space="preserve">Q</t>
  </si>
  <si>
    <r>
      <rPr>
        <b val="true"/>
        <sz val="8"/>
        <rFont val="Arial"/>
        <family val="0"/>
      </rPr>
      <t xml:space="preserve">Δ</t>
    </r>
    <r>
      <rPr>
        <b val="true"/>
        <sz val="10"/>
        <rFont val="Arial"/>
        <family val="0"/>
      </rPr>
      <t xml:space="preserve">F</t>
    </r>
  </si>
  <si>
    <r>
      <rPr>
        <b val="true"/>
        <sz val="10"/>
        <rFont val="Arial"/>
        <family val="0"/>
      </rPr>
      <t xml:space="preserve">V</t>
    </r>
    <r>
      <rPr>
        <b val="true"/>
        <sz val="8"/>
        <rFont val="Arial"/>
        <family val="0"/>
      </rPr>
      <t xml:space="preserve">C</t>
    </r>
  </si>
  <si>
    <r>
      <rPr>
        <b val="true"/>
        <sz val="10"/>
        <rFont val="Arial"/>
        <family val="0"/>
      </rPr>
      <t xml:space="preserve">P</t>
    </r>
    <r>
      <rPr>
        <b val="true"/>
        <sz val="8"/>
        <rFont val="Arial"/>
        <family val="0"/>
      </rPr>
      <t xml:space="preserve">S</t>
    </r>
  </si>
  <si>
    <t xml:space="preserve">λ</t>
  </si>
  <si>
    <t xml:space="preserve">Q (no loss)</t>
  </si>
  <si>
    <t xml:space="preserve">(Q/Qradiation)</t>
  </si>
  <si>
    <t xml:space="preserve">"-20log10(2*pi*D)"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</si>
</sst>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0"/>
    <numFmt numFmtId="166" formatCode="0.000"/>
    <numFmt numFmtId="167" formatCode="0"/>
    <numFmt numFmtId="168" formatCode="0.0000000"/>
    <numFmt numFmtId="169" formatCode="0.00000000000"/>
  </numFmts>
  <fonts count="46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0"/>
    </font>
    <font>
      <sz val="18"/>
      <color rgb="FF000000"/>
      <name val="Arial"/>
      <family val="0"/>
    </font>
    <font>
      <sz val="12"/>
      <color rgb="FF000000"/>
      <name val="Arial"/>
      <family val="0"/>
    </font>
    <font>
      <sz val="10"/>
      <color rgb="FF333333"/>
      <name val="Arial"/>
      <family val="0"/>
    </font>
    <font>
      <i val="true"/>
      <sz val="10"/>
      <color rgb="FF808080"/>
      <name val="Arial"/>
      <family val="0"/>
    </font>
    <font>
      <u val="single"/>
      <sz val="10"/>
      <color rgb="FF0000EE"/>
      <name val="Arial"/>
      <family val="0"/>
    </font>
    <font>
      <sz val="10"/>
      <color rgb="FF006600"/>
      <name val="Arial"/>
      <family val="0"/>
    </font>
    <font>
      <sz val="10"/>
      <color rgb="FF996600"/>
      <name val="Arial"/>
      <family val="0"/>
    </font>
    <font>
      <sz val="10"/>
      <color rgb="FFCC0000"/>
      <name val="Arial"/>
      <family val="0"/>
    </font>
    <font>
      <b val="true"/>
      <sz val="10"/>
      <color rgb="FFFFFFFF"/>
      <name val="Arial"/>
      <family val="0"/>
    </font>
    <font>
      <b val="true"/>
      <sz val="10"/>
      <color rgb="FF000000"/>
      <name val="Arial"/>
      <family val="0"/>
    </font>
    <font>
      <sz val="10"/>
      <color rgb="FFFFFFFF"/>
      <name val="Arial"/>
      <family val="0"/>
    </font>
    <font>
      <b val="true"/>
      <sz val="10"/>
      <name val="Arial"/>
      <family val="2"/>
    </font>
    <font>
      <b val="true"/>
      <sz val="14"/>
      <name val="Arial"/>
      <family val="2"/>
    </font>
    <font>
      <sz val="14"/>
      <name val="Arial"/>
      <family val="2"/>
    </font>
    <font>
      <sz val="10"/>
      <color rgb="FF0000FF"/>
      <name val="Arial"/>
      <family val="0"/>
    </font>
    <font>
      <i val="true"/>
      <sz val="10"/>
      <name val="Arial"/>
      <family val="2"/>
    </font>
    <font>
      <i val="true"/>
      <sz val="10"/>
      <name val="Arial"/>
      <family val="0"/>
    </font>
    <font>
      <b val="true"/>
      <i val="true"/>
      <u val="single"/>
      <sz val="10"/>
      <name val="Arial"/>
      <family val="0"/>
    </font>
    <font>
      <b val="true"/>
      <i val="true"/>
      <sz val="10"/>
      <name val="Arial"/>
      <family val="0"/>
    </font>
    <font>
      <sz val="10"/>
      <name val="Arial"/>
      <family val="2"/>
    </font>
    <font>
      <b val="true"/>
      <sz val="10"/>
      <color rgb="FF000000"/>
      <name val="Arial"/>
      <family val="2"/>
    </font>
    <font>
      <sz val="10"/>
      <color rgb="FF000000"/>
      <name val="Arial"/>
      <family val="2"/>
    </font>
    <font>
      <b val="true"/>
      <sz val="10"/>
      <name val="Arial"/>
      <family val="0"/>
    </font>
    <font>
      <b val="true"/>
      <sz val="12"/>
      <color rgb="FF000000"/>
      <name val="Arial"/>
      <family val="2"/>
    </font>
    <font>
      <sz val="8.25"/>
      <color rgb="FF000000"/>
      <name val="Arial"/>
      <family val="2"/>
    </font>
    <font>
      <sz val="9.2"/>
      <color rgb="FF000000"/>
      <name val="Arial"/>
      <family val="2"/>
    </font>
    <font>
      <b val="true"/>
      <sz val="12"/>
      <color rgb="FF008000"/>
      <name val="Arial"/>
      <family val="2"/>
    </font>
    <font>
      <i val="true"/>
      <sz val="10"/>
      <color rgb="FF008000"/>
      <name val="Comic Sans MS"/>
      <family val="4"/>
    </font>
    <font>
      <sz val="10"/>
      <name val="Comic Sans MS"/>
      <family val="4"/>
    </font>
    <font>
      <sz val="7.5"/>
      <name val="Comic Sans MS"/>
      <family val="4"/>
    </font>
    <font>
      <i val="true"/>
      <sz val="10"/>
      <color rgb="FFCE181E"/>
      <name val="Arial"/>
      <family val="0"/>
    </font>
    <font>
      <sz val="8"/>
      <name val="Comic Sans MS"/>
      <family val="4"/>
    </font>
    <font>
      <sz val="10"/>
      <color rgb="FFCE181E"/>
      <name val="Comic Sans MS"/>
      <family val="4"/>
    </font>
    <font>
      <sz val="10"/>
      <color rgb="FFCE181E"/>
      <name val="Arial"/>
      <family val="0"/>
    </font>
    <font>
      <i val="true"/>
      <sz val="10"/>
      <name val="Comic Sans MS"/>
      <family val="4"/>
    </font>
    <font>
      <sz val="10"/>
      <color rgb="FF008000"/>
      <name val="Arial"/>
      <family val="2"/>
    </font>
    <font>
      <sz val="10"/>
      <color rgb="FF008000"/>
      <name val="Comic Sans MS"/>
      <family val="4"/>
    </font>
    <font>
      <b val="true"/>
      <u val="single"/>
      <sz val="10"/>
      <name val="Arial"/>
      <family val="2"/>
    </font>
    <font>
      <b val="true"/>
      <sz val="8"/>
      <name val="Arial"/>
      <family val="0"/>
    </font>
    <font>
      <sz val="10"/>
      <color rgb="FFFFFFFF"/>
      <name val="Arial"/>
      <family val="2"/>
    </font>
    <font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E181E"/>
      </patternFill>
    </fill>
    <fill>
      <patternFill patternType="solid">
        <fgColor rgb="FF000000"/>
        <bgColor rgb="FF00008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rgb="FFFFBF00"/>
        <bgColor rgb="FFFFCC00"/>
      </patternFill>
    </fill>
    <fill>
      <patternFill patternType="solid">
        <fgColor rgb="FFFFCC00"/>
        <bgColor rgb="FFFFBF00"/>
      </patternFill>
    </fill>
    <fill>
      <patternFill patternType="solid">
        <fgColor rgb="FFFFFF00"/>
        <bgColor rgb="FFFFCC00"/>
      </patternFill>
    </fill>
    <fill>
      <patternFill patternType="solid">
        <fgColor rgb="FFFF99CC"/>
        <bgColor rgb="FFFF8080"/>
      </patternFill>
    </fill>
    <fill>
      <patternFill patternType="solid">
        <fgColor rgb="FFFF9900"/>
        <bgColor rgb="FFFFBF00"/>
      </patternFill>
    </fill>
    <fill>
      <patternFill patternType="solid">
        <fgColor rgb="FF99CCFF"/>
        <bgColor rgb="FFC0C0C0"/>
      </patternFill>
    </fill>
    <fill>
      <patternFill patternType="solid">
        <fgColor rgb="FFCCFFFF"/>
        <bgColor rgb="FFCCFFFF"/>
      </patternFill>
    </fill>
  </fills>
  <borders count="3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9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10" fillId="3" borderId="0" applyFont="true" applyBorder="false" applyAlignment="false" applyProtection="false"/>
    <xf numFmtId="164" fontId="11" fillId="2" borderId="0" applyFont="true" applyBorder="false" applyAlignment="false" applyProtection="false"/>
    <xf numFmtId="164" fontId="12" fillId="4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5" borderId="0" applyFont="true" applyBorder="false" applyAlignment="false" applyProtection="false"/>
    <xf numFmtId="164" fontId="14" fillId="0" borderId="0" applyFont="true" applyBorder="false" applyAlignment="false" applyProtection="false"/>
    <xf numFmtId="164" fontId="15" fillId="6" borderId="0" applyFont="true" applyBorder="false" applyAlignment="false" applyProtection="false"/>
    <xf numFmtId="164" fontId="15" fillId="7" borderId="0" applyFont="true" applyBorder="false" applyAlignment="false" applyProtection="false"/>
    <xf numFmtId="164" fontId="14" fillId="8" borderId="0" applyFont="true" applyBorder="false" applyAlignment="false" applyProtection="false"/>
  </cellStyleXfs>
  <cellXfs count="2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9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7" fillId="9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8" fillId="9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8" fillId="9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6" fillId="9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9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9" fillId="9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0" fillId="9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20" fillId="1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0" fillId="1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20" fillId="9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1" fillId="1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9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0" fillId="9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0" fillId="9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9" borderId="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16" fillId="3" borderId="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9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11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11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9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6" fillId="3" borderId="7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9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24" fillId="9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9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16" fillId="9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11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16" fillId="3" borderId="1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11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16" fillId="11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11" borderId="8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16" fillId="9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6" fillId="3" borderId="1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9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9" borderId="8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9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6" fillId="3" borderId="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9" borderId="1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9" borderId="1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4" fillId="9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12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12" borderId="4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12" borderId="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12" borderId="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16" fillId="13" borderId="1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13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13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13" borderId="1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16" fillId="13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13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16" fillId="13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13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25" fillId="1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1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13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16" fillId="13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13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11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6" fillId="11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6" fillId="11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11" borderId="8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16" fillId="13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13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16" fillId="13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13" borderId="1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4" fillId="9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7" fillId="9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24" fillId="9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7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11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11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11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11" borderId="1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11" borderId="18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11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11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11" borderId="2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9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9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9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3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9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9" borderId="2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3" borderId="2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9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2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6" fillId="12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1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14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14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11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6" fillId="11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11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9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6" fillId="11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11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6" fillId="11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9" borderId="1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9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9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2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3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9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0" fillId="9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1" fillId="9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2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4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9" borderId="2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26" fillId="3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6" fillId="3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6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6" fillId="3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26" fillId="3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6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6" fillId="3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6" fillId="3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6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5" fillId="15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5" fillId="15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6" fillId="15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6" fillId="15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6" fillId="15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6" fillId="15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6" fillId="15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5" fillId="15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6" fillId="15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6" fillId="15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5" fillId="15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6" fillId="15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6" fillId="1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5" fillId="1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5" fillId="15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5" fillId="15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5" fillId="15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5" fillId="15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6" fillId="15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5" fillId="15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7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9" borderId="3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6" fillId="9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6" fillId="9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6" fillId="3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6" fillId="9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1" borderId="3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3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9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6" fillId="9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6" fillId="3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6" fillId="9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1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6" fillId="11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12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27" fillId="9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7" fillId="9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3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7" fillId="3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9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3" fillId="3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7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25" fillId="9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11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2" borderId="3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9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6" fillId="9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6" fillId="3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6" fillId="9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9" borderId="3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3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6" fillId="11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12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2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5" fillId="9" borderId="2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45" fillId="3" borderId="2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9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6" borderId="2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5" fillId="16" borderId="2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16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6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5" fillId="0" borderId="2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80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BF00"/>
      <rgbColor rgb="FF00FFFF"/>
      <rgbColor rgb="FF800080"/>
      <rgbColor rgb="FF800000"/>
      <rgbColor rgb="FF008080"/>
      <rgbColor rgb="FF0000EE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6600"/>
      <rgbColor rgb="FF333300"/>
      <rgbColor rgb="FFCE18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200" spc="-1" strike="noStrike">
                <a:solidFill>
                  <a:srgbClr val="000000"/>
                </a:solidFill>
                <a:latin typeface="Arial"/>
              </a:defRPr>
            </a:pPr>
            <a:r>
              <a:rPr b="1" sz="1200" spc="-1" strike="noStrike">
                <a:solidFill>
                  <a:srgbClr val="000000"/>
                </a:solidFill>
                <a:latin typeface="Arial"/>
              </a:rPr>
              <a:t>Loop Performance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435085735821"/>
          <c:y val="0.118347708736725"/>
          <c:w val="0.65856416054268"/>
          <c:h val="0.795165170451212"/>
        </c:manualLayout>
      </c:layout>
      <c:lineChart>
        <c:grouping val="standard"/>
        <c:varyColors val="0"/>
        <c:ser>
          <c:idx val="0"/>
          <c:order val="0"/>
          <c:tx>
            <c:strRef>
              <c:f>Calc1!$E$33</c:f>
              <c:strCache>
                <c:ptCount val="1"/>
                <c:pt idx="0">
                  <c:v>dB</c:v>
                </c:pt>
              </c:strCache>
            </c:strRef>
          </c:tx>
          <c:spPr>
            <a:solidFill>
              <a:srgbClr val="ff0000"/>
            </a:solidFill>
            <a:ln w="2520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numFmt formatCode="0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Calc1!$A$34:$A$63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Calc1!$E$34:$E$63</c:f>
              <c:numCache>
                <c:formatCode>General</c:formatCode>
                <c:ptCount val="30"/>
                <c:pt idx="0">
                  <c:v>-50.5892724008997</c:v>
                </c:pt>
                <c:pt idx="1">
                  <c:v>-39.0483039389848</c:v>
                </c:pt>
                <c:pt idx="2">
                  <c:v>-32.3545406991668</c:v>
                </c:pt>
                <c:pt idx="3">
                  <c:v>-27.6350440700945</c:v>
                </c:pt>
                <c:pt idx="4">
                  <c:v>-23.9956327177851</c:v>
                </c:pt>
                <c:pt idx="5">
                  <c:v>-21.0409514238888</c:v>
                </c:pt>
                <c:pt idx="6">
                  <c:v>-18.5620865473137</c:v>
                </c:pt>
                <c:pt idx="7">
                  <c:v>-16.4358731296681</c:v>
                </c:pt>
                <c:pt idx="8">
                  <c:v>-14.5841077519841</c:v>
                </c:pt>
                <c:pt idx="9">
                  <c:v>-12.9543732895375</c:v>
                </c:pt>
                <c:pt idx="10">
                  <c:v>-11.510001281443</c:v>
                </c:pt>
                <c:pt idx="11">
                  <c:v>-10.2243657149843</c:v>
                </c:pt>
                <c:pt idx="12">
                  <c:v>-9.07742201557745</c:v>
                </c:pt>
                <c:pt idx="13">
                  <c:v>-8.05350226072644</c:v>
                </c:pt>
                <c:pt idx="14">
                  <c:v>-7.13986470113309</c:v>
                </c:pt>
                <c:pt idx="15">
                  <c:v>-6.32572717350671</c:v>
                </c:pt>
                <c:pt idx="16">
                  <c:v>-5.60162879502521</c:v>
                </c:pt>
                <c:pt idx="17">
                  <c:v>-4.95902252153068</c:v>
                </c:pt>
                <c:pt idx="18">
                  <c:v>-4.39003129507263</c:v>
                </c:pt>
                <c:pt idx="19">
                  <c:v>-3.8873172321858</c:v>
                </c:pt>
                <c:pt idx="20">
                  <c:v>-3.44402424482722</c:v>
                </c:pt>
                <c:pt idx="21">
                  <c:v>-3.05376330300172</c:v>
                </c:pt>
                <c:pt idx="22">
                  <c:v>-2.71061756808986</c:v>
                </c:pt>
                <c:pt idx="23">
                  <c:v>-2.40915194456109</c:v>
                </c:pt>
                <c:pt idx="24">
                  <c:v>-2.14441786205382</c:v>
                </c:pt>
                <c:pt idx="25">
                  <c:v>-1.91194898383621</c:v>
                </c:pt>
                <c:pt idx="26">
                  <c:v>-1.70774694279779</c:v>
                </c:pt>
                <c:pt idx="27">
                  <c:v>-1.52825826706902</c:v>
                </c:pt>
                <c:pt idx="28">
                  <c:v>-1.37034465464138</c:v>
                </c:pt>
                <c:pt idx="29">
                  <c:v>-1.23124901449102</c:v>
                </c:pt>
              </c:numCache>
            </c:numRef>
          </c:val>
          <c:smooth val="1"/>
        </c:ser>
        <c:hiLowLines>
          <c:spPr>
            <a:ln>
              <a:noFill/>
            </a:ln>
          </c:spPr>
        </c:hiLowLines>
        <c:marker val="0"/>
        <c:axId val="29387111"/>
        <c:axId val="87285557"/>
      </c:lineChart>
      <c:lineChart>
        <c:grouping val="standard"/>
        <c:varyColors val="0"/>
        <c:ser>
          <c:idx val="1"/>
          <c:order val="1"/>
          <c:tx>
            <c:strRef>
              <c:f>Calc1!$I$33</c:f>
              <c:strCache>
                <c:ptCount val="1"/>
                <c:pt idx="0">
                  <c:v>kHz</c:v>
                </c:pt>
              </c:strCache>
            </c:strRef>
          </c:tx>
          <c:spPr>
            <a:solidFill>
              <a:srgbClr val="000080"/>
            </a:solidFill>
            <a:ln w="252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numFmt formatCode="0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Calc1!$A$34:$A$63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Calc1!$I$34:$I$63</c:f>
              <c:numCache>
                <c:formatCode>General</c:formatCode>
                <c:ptCount val="30"/>
                <c:pt idx="0">
                  <c:v>17.0168684561231</c:v>
                </c:pt>
                <c:pt idx="1">
                  <c:v>19.0942576364389</c:v>
                </c:pt>
                <c:pt idx="2">
                  <c:v>20.6962418318453</c:v>
                </c:pt>
                <c:pt idx="3">
                  <c:v>22.0646363365619</c:v>
                </c:pt>
                <c:pt idx="4">
                  <c:v>23.3021337509196</c:v>
                </c:pt>
                <c:pt idx="5">
                  <c:v>24.4710466827169</c:v>
                </c:pt>
                <c:pt idx="6">
                  <c:v>25.6184716144303</c:v>
                </c:pt>
                <c:pt idx="7">
                  <c:v>26.7854941315515</c:v>
                </c:pt>
                <c:pt idx="8">
                  <c:v>28.0112967571229</c:v>
                </c:pt>
                <c:pt idx="9">
                  <c:v>29.335245734371</c:v>
                </c:pt>
                <c:pt idx="10">
                  <c:v>30.7980535925189</c:v>
                </c:pt>
                <c:pt idx="11">
                  <c:v>32.4424734045822</c:v>
                </c:pt>
                <c:pt idx="12">
                  <c:v>34.3137365352077</c:v>
                </c:pt>
                <c:pt idx="13">
                  <c:v>36.4598409999837</c:v>
                </c:pt>
                <c:pt idx="14">
                  <c:v>38.9317483898652</c:v>
                </c:pt>
                <c:pt idx="15">
                  <c:v>41.7835224815254</c:v>
                </c:pt>
                <c:pt idx="16">
                  <c:v>45.0724293454655</c:v>
                </c:pt>
                <c:pt idx="17">
                  <c:v>48.8590112686205</c:v>
                </c:pt>
                <c:pt idx="18">
                  <c:v>53.2071424060377</c:v>
                </c:pt>
                <c:pt idx="19">
                  <c:v>58.1840713954474</c:v>
                </c:pt>
                <c:pt idx="20">
                  <c:v>63.8604544838978</c:v>
                </c:pt>
                <c:pt idx="21">
                  <c:v>70.310381627289</c:v>
                </c:pt>
                <c:pt idx="22">
                  <c:v>77.6113973031327</c:v>
                </c:pt>
                <c:pt idx="23">
                  <c:v>85.844517289323</c:v>
                </c:pt>
                <c:pt idx="24">
                  <c:v>95.094242325283</c:v>
                </c:pt>
                <c:pt idx="25">
                  <c:v>105.448569335553</c:v>
                </c:pt>
                <c:pt idx="26">
                  <c:v>116.999000727223</c:v>
                </c:pt>
                <c:pt idx="27">
                  <c:v>129.840552150456</c:v>
                </c:pt>
                <c:pt idx="28">
                  <c:v>144.07175902165</c:v>
                </c:pt>
                <c:pt idx="29">
                  <c:v>159.794682042173</c:v>
                </c:pt>
              </c:numCache>
            </c:numRef>
          </c:val>
          <c:smooth val="1"/>
        </c:ser>
        <c:hiLowLines>
          <c:spPr>
            <a:ln>
              <a:noFill/>
            </a:ln>
          </c:spPr>
        </c:hiLowLines>
        <c:marker val="0"/>
        <c:axId val="43225382"/>
        <c:axId val="48498319"/>
      </c:lineChart>
      <c:catAx>
        <c:axId val="29387111"/>
        <c:scaling>
          <c:orientation val="minMax"/>
        </c:scaling>
        <c:delete val="0"/>
        <c:axPos val="b"/>
        <c:majorGridlines>
          <c:spPr>
            <a:ln>
              <a:solidFill>
                <a:srgbClr val="c0c0c0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1" sz="1000" spc="-1" strike="noStrike">
                    <a:solidFill>
                      <a:srgbClr val="000000"/>
                    </a:solidFill>
                    <a:latin typeface="Arial"/>
                  </a:defRPr>
                </a:pPr>
                <a:r>
                  <a:rPr b="1" sz="1000" spc="-1" strike="noStrike">
                    <a:solidFill>
                      <a:srgbClr val="000000"/>
                    </a:solidFill>
                    <a:latin typeface="Arial"/>
                  </a:rPr>
                  <a:t>Frequency (1-30 MHz)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="0" sz="825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87285557"/>
        <c:crossesAt val="-40"/>
        <c:auto val="1"/>
        <c:lblAlgn val="ctr"/>
        <c:lblOffset val="100"/>
      </c:catAx>
      <c:valAx>
        <c:axId val="87285557"/>
        <c:scaling>
          <c:orientation val="minMax"/>
          <c:min val="-20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1" sz="1000" spc="-1" strike="noStrike">
                    <a:solidFill>
                      <a:srgbClr val="000000"/>
                    </a:solidFill>
                    <a:latin typeface="Arial"/>
                  </a:defRPr>
                </a:pPr>
                <a:r>
                  <a:rPr b="1" sz="1000" spc="-1" strike="noStrike">
                    <a:solidFill>
                      <a:srgbClr val="000000"/>
                    </a:solidFill>
                    <a:latin typeface="Arial"/>
                  </a:rPr>
                  <a:t>Efficiency (dB)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29387111"/>
        <c:crossesAt val="1"/>
        <c:crossBetween val="midCat"/>
        <c:majorUnit val="1"/>
      </c:valAx>
      <c:catAx>
        <c:axId val="4322538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spPr>
          <a:ln>
            <a:noFill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8498319"/>
        <c:crosses val="autoZero"/>
        <c:auto val="1"/>
        <c:lblAlgn val="ctr"/>
        <c:lblOffset val="100"/>
      </c:catAx>
      <c:valAx>
        <c:axId val="48498319"/>
        <c:scaling>
          <c:orientation val="minMax"/>
          <c:max val="400"/>
        </c:scaling>
        <c:delete val="0"/>
        <c:axPos val="r"/>
        <c:title>
          <c:tx>
            <c:rich>
              <a:bodyPr rot="-5400000"/>
              <a:lstStyle/>
              <a:p>
                <a:pPr>
                  <a:defRPr b="1" sz="1000" spc="-1" strike="noStrike">
                    <a:solidFill>
                      <a:srgbClr val="000000"/>
                    </a:solidFill>
                    <a:latin typeface="Arial"/>
                  </a:defRPr>
                </a:pPr>
                <a:r>
                  <a:rPr b="1" sz="1000" spc="-1" strike="noStrike">
                    <a:solidFill>
                      <a:srgbClr val="000000"/>
                    </a:solidFill>
                    <a:latin typeface="Arial"/>
                  </a:rPr>
                  <a:t>Bandwidth (kHz)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43225382"/>
        <c:crosses val="max"/>
        <c:crossBetween val="midCat"/>
        <c:majorUnit val="20"/>
      </c:valAx>
      <c:spPr>
        <a:solidFill>
          <a:srgbClr val="ffffff"/>
        </a:solidFill>
        <a:ln w="12600">
          <a:solidFill>
            <a:srgbClr val="000000"/>
          </a:solidFill>
          <a:round/>
        </a:ln>
      </c:spPr>
    </c:plotArea>
    <c:legend>
      <c:layout>
        <c:manualLayout>
          <c:xMode val="edge"/>
          <c:yMode val="edge"/>
          <c:x val="0.875887193015514"/>
          <c:y val="0.477380742826967"/>
          <c:w val="0.104082914572864"/>
          <c:h val="0.066130735829128"/>
        </c:manualLayout>
      </c:layout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b="0" sz="92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solidFill>
        <a:srgbClr val="000000"/>
      </a:solidFill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30600</xdr:colOff>
      <xdr:row>1</xdr:row>
      <xdr:rowOff>152280</xdr:rowOff>
    </xdr:from>
    <xdr:to>
      <xdr:col>16</xdr:col>
      <xdr:colOff>615600</xdr:colOff>
      <xdr:row>39</xdr:row>
      <xdr:rowOff>96480</xdr:rowOff>
    </xdr:to>
    <xdr:graphicFrame>
      <xdr:nvGraphicFramePr>
        <xdr:cNvPr id="0" name="Chart 1"/>
        <xdr:cNvGraphicFramePr/>
      </xdr:nvGraphicFramePr>
      <xdr:xfrm>
        <a:off x="6534720" y="380880"/>
        <a:ext cx="5731200" cy="6135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a5tb@arrl.com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W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9.12"/>
    <col collapsed="false" customWidth="true" hidden="false" outlineLevel="0" max="2" min="2" style="2" width="24.53"/>
    <col collapsed="false" customWidth="true" hidden="false" outlineLevel="0" max="3" min="3" style="3" width="12.11"/>
    <col collapsed="false" customWidth="true" hidden="false" outlineLevel="0" max="4" min="4" style="1" width="13.82"/>
    <col collapsed="false" customWidth="true" hidden="false" outlineLevel="0" max="5" min="5" style="1" width="8.68"/>
    <col collapsed="false" customWidth="true" hidden="false" outlineLevel="0" max="6" min="6" style="1" width="4.27"/>
    <col collapsed="false" customWidth="true" hidden="false" outlineLevel="0" max="7" min="7" style="4" width="9.12"/>
    <col collapsed="false" customWidth="true" hidden="false" outlineLevel="0" max="8" min="8" style="4" width="10.54"/>
    <col collapsed="false" customWidth="true" hidden="false" outlineLevel="0" max="14" min="9" style="4" width="9.12"/>
    <col collapsed="false" customWidth="true" hidden="false" outlineLevel="0" max="257" min="15" style="1" width="9.12"/>
    <col collapsed="false" customWidth="true" hidden="false" outlineLevel="0" max="1025" min="258" style="0" width="9.12"/>
  </cols>
  <sheetData>
    <row r="1" customFormat="false" ht="18" hidden="false" customHeight="true" outlineLevel="0" collapsed="false">
      <c r="A1" s="4"/>
      <c r="B1" s="5"/>
      <c r="C1" s="6" t="s">
        <v>0</v>
      </c>
      <c r="D1" s="7"/>
      <c r="E1" s="4"/>
      <c r="F1" s="4"/>
    </row>
    <row r="2" customFormat="false" ht="12.75" hidden="false" customHeight="true" outlineLevel="0" collapsed="false">
      <c r="A2" s="4"/>
      <c r="B2" s="8"/>
      <c r="C2" s="9" t="s">
        <v>1</v>
      </c>
      <c r="D2" s="4"/>
      <c r="E2" s="4"/>
      <c r="F2" s="4"/>
    </row>
    <row r="3" customFormat="false" ht="12.75" hidden="false" customHeight="true" outlineLevel="0" collapsed="false">
      <c r="A3" s="4"/>
      <c r="B3" s="8"/>
      <c r="C3" s="10" t="s">
        <v>2</v>
      </c>
      <c r="D3" s="4"/>
      <c r="E3" s="4"/>
      <c r="F3" s="4"/>
    </row>
    <row r="4" customFormat="false" ht="12.75" hidden="false" customHeight="true" outlineLevel="0" collapsed="false">
      <c r="A4" s="4"/>
      <c r="B4" s="8"/>
      <c r="C4" s="9" t="s">
        <v>3</v>
      </c>
      <c r="D4" s="4"/>
      <c r="E4" s="4"/>
      <c r="F4" s="4"/>
    </row>
    <row r="5" customFormat="false" ht="12.75" hidden="false" customHeight="true" outlineLevel="0" collapsed="false">
      <c r="A5" s="4"/>
      <c r="B5" s="8"/>
      <c r="C5" s="11"/>
      <c r="D5" s="4"/>
      <c r="E5" s="4"/>
      <c r="F5" s="4"/>
    </row>
    <row r="6" customFormat="false" ht="12.75" hidden="false" customHeight="true" outlineLevel="0" collapsed="false">
      <c r="A6" s="4"/>
      <c r="B6" s="12" t="s">
        <v>4</v>
      </c>
      <c r="C6" s="13"/>
      <c r="D6" s="12"/>
      <c r="E6" s="12"/>
      <c r="F6" s="14"/>
    </row>
    <row r="7" customFormat="false" ht="12.75" hidden="false" customHeight="true" outlineLevel="0" collapsed="false">
      <c r="A7" s="4"/>
      <c r="B7" s="12" t="s">
        <v>5</v>
      </c>
      <c r="C7" s="13"/>
      <c r="D7" s="12"/>
      <c r="E7" s="12"/>
      <c r="F7" s="14"/>
    </row>
    <row r="8" customFormat="false" ht="12.75" hidden="false" customHeight="true" outlineLevel="0" collapsed="false">
      <c r="A8" s="4"/>
      <c r="B8" s="12" t="s">
        <v>6</v>
      </c>
      <c r="C8" s="13"/>
      <c r="D8" s="12"/>
      <c r="E8" s="12"/>
      <c r="F8" s="14"/>
    </row>
    <row r="9" customFormat="false" ht="12.75" hidden="false" customHeight="true" outlineLevel="0" collapsed="false">
      <c r="A9" s="4"/>
      <c r="B9" s="15" t="s">
        <v>7</v>
      </c>
      <c r="C9" s="13"/>
      <c r="D9" s="12"/>
      <c r="E9" s="12"/>
      <c r="F9" s="14"/>
    </row>
    <row r="10" customFormat="false" ht="12.75" hidden="false" customHeight="true" outlineLevel="0" collapsed="false">
      <c r="A10" s="4"/>
      <c r="B10" s="12" t="s">
        <v>8</v>
      </c>
      <c r="C10" s="13"/>
      <c r="D10" s="12"/>
      <c r="E10" s="12"/>
      <c r="F10" s="14"/>
    </row>
    <row r="11" customFormat="false" ht="12.75" hidden="false" customHeight="true" outlineLevel="0" collapsed="false">
      <c r="A11" s="4"/>
      <c r="B11" s="12" t="s">
        <v>9</v>
      </c>
      <c r="C11" s="13"/>
      <c r="D11" s="12"/>
      <c r="E11" s="12"/>
      <c r="F11" s="14"/>
    </row>
    <row r="12" s="20" customFormat="true" ht="12.75" hidden="false" customHeight="true" outlineLevel="0" collapsed="false">
      <c r="A12" s="16"/>
      <c r="B12" s="17"/>
      <c r="C12" s="18"/>
      <c r="D12" s="16"/>
      <c r="E12" s="16"/>
      <c r="F12" s="16"/>
      <c r="G12" s="16"/>
      <c r="H12" s="4"/>
      <c r="I12" s="19"/>
      <c r="J12" s="19"/>
      <c r="K12" s="19"/>
      <c r="L12" s="19"/>
      <c r="M12" s="19"/>
      <c r="N12" s="19"/>
    </row>
    <row r="13" customFormat="false" ht="12.75" hidden="false" customHeight="true" outlineLevel="0" collapsed="false">
      <c r="A13" s="4"/>
      <c r="B13" s="4" t="s">
        <v>10</v>
      </c>
      <c r="C13" s="21"/>
      <c r="D13" s="4"/>
      <c r="E13" s="4"/>
      <c r="F13" s="4"/>
    </row>
    <row r="14" customFormat="false" ht="13.5" hidden="false" customHeight="true" outlineLevel="0" collapsed="false">
      <c r="A14" s="4"/>
      <c r="B14" s="4"/>
      <c r="C14" s="21"/>
      <c r="D14" s="22"/>
      <c r="E14" s="22"/>
      <c r="F14" s="22"/>
    </row>
    <row r="15" customFormat="false" ht="12.75" hidden="false" customHeight="true" outlineLevel="0" collapsed="false">
      <c r="A15" s="4"/>
      <c r="B15" s="23" t="s">
        <v>11</v>
      </c>
      <c r="C15" s="24" t="n">
        <v>18.1</v>
      </c>
      <c r="D15" s="25" t="s">
        <v>12</v>
      </c>
      <c r="E15" s="26" t="s">
        <v>13</v>
      </c>
      <c r="F15" s="27"/>
    </row>
    <row r="16" customFormat="false" ht="12.75" hidden="false" customHeight="true" outlineLevel="0" collapsed="false">
      <c r="A16" s="4"/>
      <c r="B16" s="28" t="s">
        <v>14</v>
      </c>
      <c r="C16" s="29" t="n">
        <v>2.625</v>
      </c>
      <c r="D16" s="30" t="s">
        <v>15</v>
      </c>
      <c r="E16" s="31" t="n">
        <f aca="false">0.3048*C16</f>
        <v>0.8001</v>
      </c>
      <c r="F16" s="32" t="s">
        <v>16</v>
      </c>
    </row>
    <row r="17" customFormat="false" ht="12.75" hidden="false" customHeight="true" outlineLevel="0" collapsed="false">
      <c r="A17" s="4"/>
      <c r="B17" s="28" t="s">
        <v>17</v>
      </c>
      <c r="C17" s="29" t="n">
        <v>0.49213</v>
      </c>
      <c r="D17" s="30" t="s">
        <v>18</v>
      </c>
      <c r="E17" s="33" t="n">
        <f aca="false">25.4*C17</f>
        <v>12.500102</v>
      </c>
      <c r="F17" s="32" t="s">
        <v>19</v>
      </c>
    </row>
    <row r="18" customFormat="false" ht="12.75" hidden="false" customHeight="true" outlineLevel="0" collapsed="false">
      <c r="A18" s="4"/>
      <c r="B18" s="34" t="s">
        <v>20</v>
      </c>
      <c r="C18" s="35" t="n">
        <v>50</v>
      </c>
      <c r="D18" s="36" t="s">
        <v>21</v>
      </c>
      <c r="E18" s="37"/>
      <c r="F18" s="38"/>
    </row>
    <row r="19" customFormat="false" ht="12.75" hidden="false" customHeight="true" outlineLevel="0" collapsed="false">
      <c r="A19" s="4"/>
      <c r="B19" s="39" t="s">
        <v>22</v>
      </c>
      <c r="C19" s="40" t="n">
        <v>80</v>
      </c>
      <c r="D19" s="41" t="s">
        <v>23</v>
      </c>
      <c r="E19" s="30"/>
      <c r="F19" s="42"/>
    </row>
    <row r="20" customFormat="false" ht="13.5" hidden="false" customHeight="true" outlineLevel="0" collapsed="false">
      <c r="A20" s="4"/>
      <c r="B20" s="43" t="s">
        <v>24</v>
      </c>
      <c r="C20" s="44" t="n">
        <v>100</v>
      </c>
      <c r="D20" s="45" t="s">
        <v>25</v>
      </c>
      <c r="E20" s="45"/>
      <c r="F20" s="46"/>
    </row>
    <row r="21" customFormat="false" ht="12.75" hidden="false" customHeight="true" outlineLevel="0" collapsed="false">
      <c r="A21" s="4"/>
      <c r="B21" s="8"/>
      <c r="C21" s="21"/>
      <c r="D21" s="4"/>
      <c r="E21" s="4"/>
      <c r="F21" s="4"/>
    </row>
    <row r="22" customFormat="false" ht="13.5" hidden="false" customHeight="true" outlineLevel="0" collapsed="false">
      <c r="A22" s="4"/>
      <c r="B22" s="47" t="s">
        <v>26</v>
      </c>
      <c r="C22" s="21"/>
      <c r="D22" s="4"/>
      <c r="E22" s="4"/>
      <c r="F22" s="4"/>
    </row>
    <row r="23" customFormat="false" ht="12.75" hidden="false" customHeight="true" outlineLevel="0" collapsed="false">
      <c r="A23" s="4"/>
      <c r="B23" s="48" t="s">
        <v>27</v>
      </c>
      <c r="C23" s="49"/>
      <c r="D23" s="50"/>
      <c r="E23" s="50"/>
      <c r="F23" s="51"/>
    </row>
    <row r="24" customFormat="false" ht="12.75" hidden="false" customHeight="true" outlineLevel="0" collapsed="false">
      <c r="A24" s="4"/>
      <c r="B24" s="39" t="s">
        <v>28</v>
      </c>
      <c r="C24" s="52" t="n">
        <f aca="false">Calc1!D22</f>
        <v>49.267471634809</v>
      </c>
      <c r="D24" s="53" t="s">
        <v>29</v>
      </c>
      <c r="E24" s="54"/>
      <c r="F24" s="55"/>
    </row>
    <row r="25" customFormat="false" ht="12.75" hidden="false" customHeight="true" outlineLevel="0" collapsed="false">
      <c r="A25" s="4"/>
      <c r="B25" s="28" t="s">
        <v>30</v>
      </c>
      <c r="C25" s="56" t="n">
        <f aca="false">Calc1!D16</f>
        <v>32.3672964754917</v>
      </c>
      <c r="D25" s="57" t="s">
        <v>31</v>
      </c>
      <c r="E25" s="58" t="n">
        <f aca="false">Calc1!F16</f>
        <v>-4.89893574147305</v>
      </c>
      <c r="F25" s="59" t="s">
        <v>32</v>
      </c>
    </row>
    <row r="26" customFormat="false" ht="12.75" hidden="false" customHeight="true" outlineLevel="0" collapsed="false">
      <c r="A26" s="4"/>
      <c r="B26" s="28" t="s">
        <v>33</v>
      </c>
      <c r="C26" s="56" t="n">
        <f aca="false">Calc1!B12</f>
        <v>5.41188421966054</v>
      </c>
      <c r="D26" s="57" t="s">
        <v>34</v>
      </c>
      <c r="E26" s="58" t="n">
        <f aca="false">Calc1!D12</f>
        <v>0.502780496134492</v>
      </c>
      <c r="F26" s="59" t="s">
        <v>35</v>
      </c>
    </row>
    <row r="27" customFormat="false" ht="12.75" hidden="false" customHeight="true" outlineLevel="0" collapsed="false">
      <c r="A27" s="4"/>
      <c r="B27" s="28" t="s">
        <v>36</v>
      </c>
      <c r="C27" s="58" t="n">
        <f aca="false">Calc1!D13</f>
        <v>106.249768740822</v>
      </c>
      <c r="D27" s="57" t="s">
        <v>37</v>
      </c>
      <c r="E27" s="53"/>
      <c r="F27" s="55"/>
    </row>
    <row r="28" customFormat="false" ht="12.75" hidden="false" customHeight="true" outlineLevel="0" collapsed="false">
      <c r="A28" s="4"/>
      <c r="B28" s="28" t="s">
        <v>38</v>
      </c>
      <c r="C28" s="58" t="n">
        <f aca="false">Calc1!D15</f>
        <v>222.012954163062</v>
      </c>
      <c r="D28" s="57" t="s">
        <v>37</v>
      </c>
      <c r="E28" s="57"/>
      <c r="F28" s="59"/>
    </row>
    <row r="29" customFormat="false" ht="12.75" hidden="false" customHeight="true" outlineLevel="0" collapsed="false">
      <c r="A29" s="4"/>
      <c r="B29" s="28" t="s">
        <v>39</v>
      </c>
      <c r="C29" s="56" t="n">
        <f aca="false">Calc1!B11</f>
        <v>8.24668071567321</v>
      </c>
      <c r="D29" s="57" t="s">
        <v>40</v>
      </c>
      <c r="E29" s="60" t="n">
        <f aca="false">0.3048*C29</f>
        <v>2.51358828213719</v>
      </c>
      <c r="F29" s="61" t="s">
        <v>16</v>
      </c>
    </row>
    <row r="30" customFormat="false" ht="12.75" hidden="false" customHeight="true" outlineLevel="0" collapsed="false">
      <c r="A30" s="4"/>
      <c r="B30" s="28" t="s">
        <v>41</v>
      </c>
      <c r="C30" s="58" t="n">
        <f aca="false">Calc1!B27</f>
        <v>15.1757872621053</v>
      </c>
      <c r="D30" s="57" t="s">
        <v>42</v>
      </c>
      <c r="E30" s="58"/>
      <c r="F30" s="59"/>
    </row>
    <row r="31" customFormat="false" ht="12.75" hidden="false" customHeight="true" outlineLevel="0" collapsed="false">
      <c r="A31" s="4"/>
      <c r="B31" s="28" t="s">
        <v>43</v>
      </c>
      <c r="C31" s="56" t="n">
        <f aca="false">Calc1!D17</f>
        <v>2.12085715988095</v>
      </c>
      <c r="D31" s="62" t="s">
        <v>44</v>
      </c>
      <c r="E31" s="63"/>
      <c r="F31" s="59"/>
    </row>
    <row r="32" customFormat="false" ht="12.75" hidden="false" customHeight="true" outlineLevel="0" collapsed="false">
      <c r="A32" s="4"/>
      <c r="B32" s="28" t="s">
        <v>45</v>
      </c>
      <c r="C32" s="56" t="n">
        <f aca="false">Calc1!B23</f>
        <v>3.568446</v>
      </c>
      <c r="D32" s="57" t="s">
        <v>46</v>
      </c>
      <c r="E32" s="58"/>
      <c r="F32" s="59"/>
    </row>
    <row r="33" customFormat="false" ht="12.75" hidden="false" customHeight="true" outlineLevel="0" collapsed="false">
      <c r="A33" s="4"/>
      <c r="B33" s="28" t="s">
        <v>47</v>
      </c>
      <c r="C33" s="56" t="n">
        <f aca="false">Calc1!B20</f>
        <v>367.382359991288</v>
      </c>
      <c r="D33" s="57"/>
      <c r="E33" s="64"/>
      <c r="F33" s="59"/>
    </row>
    <row r="34" customFormat="false" ht="12.75" hidden="false" customHeight="true" outlineLevel="0" collapsed="false">
      <c r="A34" s="4"/>
      <c r="B34" s="65" t="s">
        <v>48</v>
      </c>
      <c r="C34" s="66" t="n">
        <f aca="false">Calc1!B21</f>
        <v>1135.04184777826</v>
      </c>
      <c r="D34" s="36"/>
      <c r="E34" s="67" t="s">
        <v>49</v>
      </c>
      <c r="F34" s="68"/>
    </row>
    <row r="35" customFormat="false" ht="12.75" hidden="false" customHeight="true" outlineLevel="0" collapsed="false">
      <c r="A35" s="4"/>
      <c r="B35" s="28" t="s">
        <v>50</v>
      </c>
      <c r="C35" s="56" t="n">
        <f aca="false">Calc1!D19</f>
        <v>36.4562248238808</v>
      </c>
      <c r="D35" s="57" t="s">
        <v>51</v>
      </c>
      <c r="E35" s="64"/>
      <c r="F35" s="59"/>
    </row>
    <row r="36" customFormat="false" ht="12.75" hidden="false" customHeight="true" outlineLevel="0" collapsed="false">
      <c r="A36" s="4"/>
      <c r="B36" s="28" t="s">
        <v>52</v>
      </c>
      <c r="C36" s="56" t="n">
        <f aca="false">Calc1!B24</f>
        <v>2976.76178231746</v>
      </c>
      <c r="D36" s="57" t="s">
        <v>53</v>
      </c>
      <c r="E36" s="64"/>
      <c r="F36" s="59"/>
    </row>
    <row r="37" customFormat="false" ht="13.5" hidden="false" customHeight="true" outlineLevel="0" collapsed="false">
      <c r="A37" s="69"/>
      <c r="B37" s="43" t="s">
        <v>54</v>
      </c>
      <c r="C37" s="70" t="n">
        <f aca="false">Calc1!D25</f>
        <v>39.6901570975661</v>
      </c>
      <c r="D37" s="71" t="s">
        <v>55</v>
      </c>
      <c r="E37" s="72" t="n">
        <f aca="false">Calc1!F25</f>
        <v>1.00812999027818</v>
      </c>
      <c r="F37" s="73" t="s">
        <v>19</v>
      </c>
    </row>
    <row r="38" customFormat="false" ht="12.75" hidden="false" customHeight="true" outlineLevel="0" collapsed="false">
      <c r="A38" s="4"/>
      <c r="B38" s="8"/>
      <c r="C38" s="21"/>
      <c r="D38" s="4"/>
      <c r="E38" s="4"/>
      <c r="F38" s="4"/>
    </row>
    <row r="39" customFormat="false" ht="12.75" hidden="false" customHeight="true" outlineLevel="0" collapsed="false">
      <c r="A39" s="4" t="s">
        <v>56</v>
      </c>
      <c r="B39" s="74"/>
      <c r="C39" s="21"/>
      <c r="D39" s="4"/>
      <c r="E39" s="4"/>
      <c r="F39" s="4"/>
    </row>
    <row r="40" customFormat="false" ht="12.75" hidden="false" customHeight="true" outlineLevel="0" collapsed="false">
      <c r="A40" s="4"/>
      <c r="B40" s="41" t="s">
        <v>57</v>
      </c>
      <c r="C40" s="75"/>
      <c r="D40" s="41"/>
      <c r="E40" s="41"/>
      <c r="F40" s="4"/>
    </row>
    <row r="41" customFormat="false" ht="12.75" hidden="false" customHeight="true" outlineLevel="0" collapsed="false">
      <c r="A41" s="4"/>
      <c r="B41" s="47" t="s">
        <v>58</v>
      </c>
      <c r="C41" s="75"/>
      <c r="D41" s="41"/>
      <c r="E41" s="41"/>
      <c r="F41" s="4"/>
    </row>
    <row r="42" customFormat="false" ht="12.75" hidden="false" customHeight="true" outlineLevel="0" collapsed="false">
      <c r="A42" s="4"/>
      <c r="B42" s="41" t="s">
        <v>59</v>
      </c>
      <c r="C42" s="75"/>
      <c r="D42" s="41"/>
      <c r="E42" s="41"/>
      <c r="F42" s="4"/>
    </row>
    <row r="43" customFormat="false" ht="12.75" hidden="false" customHeight="true" outlineLevel="0" collapsed="false">
      <c r="A43" s="4"/>
      <c r="B43" s="76" t="s">
        <v>60</v>
      </c>
      <c r="C43" s="75"/>
      <c r="D43" s="41"/>
      <c r="E43" s="41"/>
      <c r="F43" s="4"/>
    </row>
    <row r="44" customFormat="false" ht="12.75" hidden="false" customHeight="true" outlineLevel="0" collapsed="false">
      <c r="A44" s="4"/>
      <c r="B44" s="74" t="s">
        <v>61</v>
      </c>
      <c r="C44" s="21"/>
      <c r="D44" s="4"/>
      <c r="E44" s="4"/>
      <c r="F44" s="4"/>
    </row>
    <row r="45" customFormat="false" ht="12.75" hidden="false" customHeight="true" outlineLevel="0" collapsed="false">
      <c r="A45" s="69"/>
      <c r="B45" s="77" t="s">
        <v>62</v>
      </c>
      <c r="C45" s="78"/>
      <c r="D45" s="69"/>
      <c r="E45" s="69"/>
      <c r="F45" s="69"/>
    </row>
    <row r="46" customFormat="false" ht="12.75" hidden="false" customHeight="true" outlineLevel="0" collapsed="false">
      <c r="A46" s="69"/>
      <c r="B46" s="79" t="s">
        <v>63</v>
      </c>
      <c r="C46" s="78"/>
      <c r="D46" s="69"/>
      <c r="E46" s="69"/>
      <c r="F46" s="69"/>
    </row>
    <row r="47" customFormat="false" ht="12.75" hidden="false" customHeight="true" outlineLevel="0" collapsed="false">
      <c r="B47" s="80" t="s">
        <v>64</v>
      </c>
    </row>
    <row r="48" customFormat="false" ht="13.5" hidden="false" customHeight="true" outlineLevel="0" collapsed="false"/>
    <row r="49" customFormat="false" ht="12.75" hidden="false" customHeight="true" outlineLevel="0" collapsed="false">
      <c r="B49" s="81" t="s">
        <v>65</v>
      </c>
      <c r="C49" s="82"/>
      <c r="D49" s="83"/>
      <c r="E49" s="83"/>
      <c r="F49" s="83"/>
      <c r="G49" s="84"/>
      <c r="H49" s="85"/>
    </row>
    <row r="50" customFormat="false" ht="12.75" hidden="false" customHeight="true" outlineLevel="0" collapsed="false">
      <c r="B50" s="86" t="s">
        <v>66</v>
      </c>
      <c r="C50" s="87"/>
      <c r="D50" s="88"/>
      <c r="E50" s="88"/>
      <c r="F50" s="88"/>
      <c r="G50" s="89"/>
      <c r="H50" s="90"/>
    </row>
    <row r="51" customFormat="false" ht="12.75" hidden="false" customHeight="true" outlineLevel="0" collapsed="false">
      <c r="B51" s="91"/>
      <c r="C51" s="92"/>
      <c r="D51" s="93"/>
      <c r="E51" s="93"/>
      <c r="F51" s="93"/>
      <c r="G51" s="41"/>
      <c r="H51" s="94"/>
    </row>
    <row r="52" customFormat="false" ht="12.75" hidden="false" customHeight="true" outlineLevel="0" collapsed="false">
      <c r="B52" s="95" t="s">
        <v>67</v>
      </c>
      <c r="C52" s="96" t="n">
        <v>10128</v>
      </c>
      <c r="D52" s="97" t="s">
        <v>68</v>
      </c>
      <c r="E52" s="98"/>
      <c r="F52" s="98"/>
      <c r="G52" s="30"/>
      <c r="H52" s="42"/>
    </row>
    <row r="53" customFormat="false" ht="12.75" hidden="false" customHeight="true" outlineLevel="0" collapsed="false">
      <c r="B53" s="99" t="s">
        <v>69</v>
      </c>
      <c r="C53" s="100" t="n">
        <v>10138</v>
      </c>
      <c r="D53" s="101" t="s">
        <v>68</v>
      </c>
      <c r="G53" s="1"/>
      <c r="H53" s="102"/>
    </row>
    <row r="54" customFormat="false" ht="12.75" hidden="false" customHeight="true" outlineLevel="0" collapsed="false">
      <c r="B54" s="99"/>
      <c r="C54" s="103"/>
      <c r="D54" s="101"/>
      <c r="E54" s="98"/>
      <c r="F54" s="98"/>
      <c r="G54" s="98"/>
      <c r="H54" s="102"/>
    </row>
    <row r="55" customFormat="false" ht="12.75" hidden="false" customHeight="true" outlineLevel="0" collapsed="false">
      <c r="B55" s="104" t="s">
        <v>70</v>
      </c>
      <c r="C55" s="105" t="n">
        <f aca="false">SQRT(C52*C53)/1000</f>
        <v>10.1329987664067</v>
      </c>
      <c r="D55" s="106" t="s">
        <v>12</v>
      </c>
      <c r="E55" s="107" t="s">
        <v>71</v>
      </c>
      <c r="F55" s="107"/>
      <c r="G55" s="107"/>
      <c r="H55" s="108"/>
    </row>
    <row r="56" customFormat="false" ht="12.75" hidden="false" customHeight="true" outlineLevel="0" collapsed="false">
      <c r="B56" s="104" t="s">
        <v>72</v>
      </c>
      <c r="C56" s="67" t="n">
        <f aca="false">ABS(C53-C52)</f>
        <v>10</v>
      </c>
      <c r="D56" s="67" t="s">
        <v>68</v>
      </c>
      <c r="E56" s="109"/>
      <c r="F56" s="67"/>
      <c r="G56" s="67"/>
      <c r="H56" s="42"/>
    </row>
    <row r="57" customFormat="false" ht="12.75" hidden="false" customHeight="true" outlineLevel="0" collapsed="false">
      <c r="B57" s="95" t="s">
        <v>73</v>
      </c>
      <c r="C57" s="110" t="n">
        <f aca="false">SQRT(C52*C53)/ABS(C53-C52)</f>
        <v>1013.29987664067</v>
      </c>
      <c r="D57" s="111"/>
      <c r="E57" s="111"/>
      <c r="F57" s="111"/>
      <c r="G57" s="36"/>
      <c r="H57" s="42"/>
    </row>
    <row r="58" customFormat="false" ht="13.5" hidden="false" customHeight="true" outlineLevel="0" collapsed="false">
      <c r="B58" s="112" t="s">
        <v>74</v>
      </c>
      <c r="C58" s="113" t="n">
        <f aca="false">100*C57/C34</f>
        <v>89.2742306042824</v>
      </c>
      <c r="D58" s="114" t="s">
        <v>31</v>
      </c>
      <c r="E58" s="115" t="n">
        <f aca="false">10*LOG(C58/100)</f>
        <v>-0.492738840167757</v>
      </c>
      <c r="F58" s="114" t="s">
        <v>32</v>
      </c>
      <c r="G58" s="116"/>
      <c r="H58" s="117"/>
    </row>
    <row r="59" s="120" customFormat="true" ht="12.75" hidden="false" customHeight="true" outlineLevel="0" collapsed="false">
      <c r="A59" s="77"/>
      <c r="B59" s="77"/>
      <c r="C59" s="118"/>
      <c r="D59" s="77"/>
      <c r="E59" s="77"/>
      <c r="F59" s="77"/>
      <c r="G59" s="119"/>
      <c r="H59" s="119"/>
      <c r="I59" s="119"/>
      <c r="J59" s="119"/>
      <c r="K59" s="119"/>
      <c r="L59" s="119"/>
      <c r="M59" s="119"/>
      <c r="N59" s="119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  <c r="FO59" s="77"/>
      <c r="FP59" s="77"/>
      <c r="FQ59" s="77"/>
      <c r="FR59" s="77"/>
      <c r="FS59" s="77"/>
      <c r="FT59" s="77"/>
      <c r="FU59" s="77"/>
      <c r="FV59" s="77"/>
      <c r="FW59" s="77"/>
      <c r="FX59" s="77"/>
      <c r="FY59" s="77"/>
      <c r="FZ59" s="77"/>
      <c r="GA59" s="77"/>
      <c r="GB59" s="77"/>
      <c r="GC59" s="77"/>
      <c r="GD59" s="77"/>
      <c r="GE59" s="77"/>
      <c r="GF59" s="77"/>
      <c r="GG59" s="77"/>
      <c r="GH59" s="77"/>
      <c r="GI59" s="77"/>
      <c r="GJ59" s="77"/>
      <c r="GK59" s="77"/>
      <c r="GL59" s="77"/>
      <c r="GM59" s="77"/>
      <c r="GN59" s="77"/>
      <c r="GO59" s="77"/>
      <c r="GP59" s="77"/>
      <c r="GQ59" s="77"/>
      <c r="GR59" s="77"/>
      <c r="GS59" s="77"/>
      <c r="GT59" s="77"/>
      <c r="GU59" s="77"/>
      <c r="GV59" s="77"/>
      <c r="GW59" s="77"/>
      <c r="GX59" s="77"/>
      <c r="GY59" s="77"/>
      <c r="GZ59" s="77"/>
      <c r="HA59" s="77"/>
      <c r="HB59" s="77"/>
      <c r="HC59" s="77"/>
      <c r="HD59" s="77"/>
      <c r="HE59" s="77"/>
      <c r="HF59" s="77"/>
      <c r="HG59" s="77"/>
      <c r="HH59" s="77"/>
      <c r="HI59" s="77"/>
      <c r="HJ59" s="77"/>
      <c r="HK59" s="77"/>
      <c r="HL59" s="77"/>
      <c r="HM59" s="77"/>
      <c r="HN59" s="77"/>
      <c r="HO59" s="77"/>
      <c r="HP59" s="77"/>
      <c r="HQ59" s="77"/>
      <c r="HR59" s="77"/>
      <c r="HS59" s="77"/>
      <c r="HT59" s="77"/>
      <c r="HU59" s="77"/>
      <c r="HV59" s="77"/>
      <c r="HW59" s="77"/>
      <c r="HX59" s="77"/>
      <c r="HY59" s="77"/>
      <c r="HZ59" s="77"/>
      <c r="IA59" s="77"/>
      <c r="IB59" s="77"/>
      <c r="IC59" s="77"/>
      <c r="ID59" s="77"/>
      <c r="IE59" s="77"/>
      <c r="IF59" s="77"/>
      <c r="IG59" s="77"/>
      <c r="IH59" s="77"/>
      <c r="II59" s="77"/>
      <c r="IJ59" s="77"/>
      <c r="IK59" s="77"/>
      <c r="IL59" s="77"/>
      <c r="IM59" s="77"/>
      <c r="IN59" s="77"/>
      <c r="IO59" s="77"/>
      <c r="IP59" s="77"/>
      <c r="IQ59" s="77"/>
      <c r="IR59" s="77"/>
      <c r="IS59" s="77"/>
      <c r="IT59" s="77"/>
      <c r="IU59" s="77"/>
      <c r="IV59" s="77"/>
      <c r="IW59" s="77"/>
    </row>
    <row r="60" s="120" customFormat="true" ht="12.75" hidden="false" customHeight="true" outlineLevel="0" collapsed="false">
      <c r="A60" s="77"/>
      <c r="B60" s="121" t="s">
        <v>75</v>
      </c>
      <c r="C60" s="118"/>
      <c r="D60" s="77"/>
      <c r="E60" s="77"/>
      <c r="F60" s="77"/>
      <c r="G60" s="119"/>
      <c r="H60" s="119"/>
      <c r="I60" s="119"/>
      <c r="J60" s="119"/>
      <c r="K60" s="119"/>
      <c r="L60" s="119"/>
      <c r="M60" s="119"/>
      <c r="N60" s="119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  <c r="FO60" s="77"/>
      <c r="FP60" s="77"/>
      <c r="FQ60" s="77"/>
      <c r="FR60" s="77"/>
      <c r="FS60" s="77"/>
      <c r="FT60" s="77"/>
      <c r="FU60" s="77"/>
      <c r="FV60" s="77"/>
      <c r="FW60" s="77"/>
      <c r="FX60" s="77"/>
      <c r="FY60" s="77"/>
      <c r="FZ60" s="77"/>
      <c r="GA60" s="77"/>
      <c r="GB60" s="77"/>
      <c r="GC60" s="77"/>
      <c r="GD60" s="77"/>
      <c r="GE60" s="77"/>
      <c r="GF60" s="77"/>
      <c r="GG60" s="77"/>
      <c r="GH60" s="77"/>
      <c r="GI60" s="77"/>
      <c r="GJ60" s="77"/>
      <c r="GK60" s="77"/>
      <c r="GL60" s="77"/>
      <c r="GM60" s="77"/>
      <c r="GN60" s="77"/>
      <c r="GO60" s="77"/>
      <c r="GP60" s="77"/>
      <c r="GQ60" s="77"/>
      <c r="GR60" s="77"/>
      <c r="GS60" s="77"/>
      <c r="GT60" s="77"/>
      <c r="GU60" s="77"/>
      <c r="GV60" s="77"/>
      <c r="GW60" s="77"/>
      <c r="GX60" s="77"/>
      <c r="GY60" s="77"/>
      <c r="GZ60" s="77"/>
      <c r="HA60" s="77"/>
      <c r="HB60" s="77"/>
      <c r="HC60" s="77"/>
      <c r="HD60" s="77"/>
      <c r="HE60" s="77"/>
      <c r="HF60" s="77"/>
      <c r="HG60" s="77"/>
      <c r="HH60" s="77"/>
      <c r="HI60" s="77"/>
      <c r="HJ60" s="77"/>
      <c r="HK60" s="77"/>
      <c r="HL60" s="77"/>
      <c r="HM60" s="77"/>
      <c r="HN60" s="77"/>
      <c r="HO60" s="77"/>
      <c r="HP60" s="77"/>
      <c r="HQ60" s="77"/>
      <c r="HR60" s="77"/>
      <c r="HS60" s="77"/>
      <c r="HT60" s="77"/>
      <c r="HU60" s="77"/>
      <c r="HV60" s="77"/>
      <c r="HW60" s="77"/>
      <c r="HX60" s="77"/>
      <c r="HY60" s="77"/>
      <c r="HZ60" s="77"/>
      <c r="IA60" s="77"/>
      <c r="IB60" s="77"/>
      <c r="IC60" s="77"/>
      <c r="ID60" s="77"/>
      <c r="IE60" s="77"/>
      <c r="IF60" s="77"/>
      <c r="IG60" s="77"/>
      <c r="IH60" s="77"/>
      <c r="II60" s="77"/>
      <c r="IJ60" s="77"/>
      <c r="IK60" s="77"/>
      <c r="IL60" s="77"/>
      <c r="IM60" s="77"/>
      <c r="IN60" s="77"/>
      <c r="IO60" s="77"/>
      <c r="IP60" s="77"/>
      <c r="IQ60" s="77"/>
      <c r="IR60" s="77"/>
      <c r="IS60" s="77"/>
      <c r="IT60" s="77"/>
      <c r="IU60" s="77"/>
      <c r="IV60" s="77"/>
      <c r="IW60" s="77"/>
    </row>
    <row r="61" s="120" customFormat="true" ht="12.75" hidden="false" customHeight="true" outlineLevel="0" collapsed="false">
      <c r="A61" s="77"/>
      <c r="B61" s="121" t="s">
        <v>76</v>
      </c>
      <c r="C61" s="118"/>
      <c r="D61" s="77"/>
      <c r="E61" s="77"/>
      <c r="F61" s="77"/>
      <c r="G61" s="119"/>
      <c r="H61" s="119"/>
      <c r="I61" s="119"/>
      <c r="J61" s="119"/>
      <c r="K61" s="119"/>
      <c r="L61" s="119"/>
      <c r="M61" s="119"/>
      <c r="N61" s="119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  <c r="FO61" s="77"/>
      <c r="FP61" s="77"/>
      <c r="FQ61" s="77"/>
      <c r="FR61" s="77"/>
      <c r="FS61" s="77"/>
      <c r="FT61" s="77"/>
      <c r="FU61" s="77"/>
      <c r="FV61" s="77"/>
      <c r="FW61" s="77"/>
      <c r="FX61" s="77"/>
      <c r="FY61" s="77"/>
      <c r="FZ61" s="77"/>
      <c r="GA61" s="77"/>
      <c r="GB61" s="77"/>
      <c r="GC61" s="77"/>
      <c r="GD61" s="77"/>
      <c r="GE61" s="77"/>
      <c r="GF61" s="77"/>
      <c r="GG61" s="77"/>
      <c r="GH61" s="77"/>
      <c r="GI61" s="77"/>
      <c r="GJ61" s="77"/>
      <c r="GK61" s="77"/>
      <c r="GL61" s="77"/>
      <c r="GM61" s="77"/>
      <c r="GN61" s="77"/>
      <c r="GO61" s="77"/>
      <c r="GP61" s="77"/>
      <c r="GQ61" s="77"/>
      <c r="GR61" s="77"/>
      <c r="GS61" s="77"/>
      <c r="GT61" s="77"/>
      <c r="GU61" s="77"/>
      <c r="GV61" s="77"/>
      <c r="GW61" s="77"/>
      <c r="GX61" s="77"/>
      <c r="GY61" s="77"/>
      <c r="GZ61" s="77"/>
      <c r="HA61" s="77"/>
      <c r="HB61" s="77"/>
      <c r="HC61" s="77"/>
      <c r="HD61" s="77"/>
      <c r="HE61" s="77"/>
      <c r="HF61" s="77"/>
      <c r="HG61" s="77"/>
      <c r="HH61" s="77"/>
      <c r="HI61" s="77"/>
      <c r="HJ61" s="77"/>
      <c r="HK61" s="77"/>
      <c r="HL61" s="77"/>
      <c r="HM61" s="77"/>
      <c r="HN61" s="77"/>
      <c r="HO61" s="77"/>
      <c r="HP61" s="77"/>
      <c r="HQ61" s="77"/>
      <c r="HR61" s="77"/>
      <c r="HS61" s="77"/>
      <c r="HT61" s="77"/>
      <c r="HU61" s="77"/>
      <c r="HV61" s="77"/>
      <c r="HW61" s="77"/>
      <c r="HX61" s="77"/>
      <c r="HY61" s="77"/>
      <c r="HZ61" s="77"/>
      <c r="IA61" s="77"/>
      <c r="IB61" s="77"/>
      <c r="IC61" s="77"/>
      <c r="ID61" s="77"/>
      <c r="IE61" s="77"/>
      <c r="IF61" s="77"/>
      <c r="IG61" s="77"/>
      <c r="IH61" s="77"/>
      <c r="II61" s="77"/>
      <c r="IJ61" s="77"/>
      <c r="IK61" s="77"/>
      <c r="IL61" s="77"/>
      <c r="IM61" s="77"/>
      <c r="IN61" s="77"/>
      <c r="IO61" s="77"/>
      <c r="IP61" s="77"/>
      <c r="IQ61" s="77"/>
      <c r="IR61" s="77"/>
      <c r="IS61" s="77"/>
      <c r="IT61" s="77"/>
      <c r="IU61" s="77"/>
      <c r="IV61" s="77"/>
      <c r="IW61" s="77"/>
    </row>
    <row r="62" s="120" customFormat="true" ht="12.75" hidden="false" customHeight="true" outlineLevel="0" collapsed="false">
      <c r="A62" s="77"/>
      <c r="B62" s="77"/>
      <c r="C62" s="118"/>
      <c r="D62" s="77"/>
      <c r="E62" s="77"/>
      <c r="F62" s="77"/>
      <c r="G62" s="119"/>
      <c r="H62" s="119"/>
      <c r="I62" s="119"/>
      <c r="J62" s="119"/>
      <c r="K62" s="119"/>
      <c r="L62" s="119"/>
      <c r="M62" s="119"/>
      <c r="N62" s="119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  <c r="FO62" s="77"/>
      <c r="FP62" s="77"/>
      <c r="FQ62" s="77"/>
      <c r="FR62" s="77"/>
      <c r="FS62" s="77"/>
      <c r="FT62" s="77"/>
      <c r="FU62" s="77"/>
      <c r="FV62" s="77"/>
      <c r="FW62" s="77"/>
      <c r="FX62" s="77"/>
      <c r="FY62" s="77"/>
      <c r="FZ62" s="77"/>
      <c r="GA62" s="77"/>
      <c r="GB62" s="77"/>
      <c r="GC62" s="77"/>
      <c r="GD62" s="77"/>
      <c r="GE62" s="77"/>
      <c r="GF62" s="77"/>
      <c r="GG62" s="77"/>
      <c r="GH62" s="77"/>
      <c r="GI62" s="77"/>
      <c r="GJ62" s="77"/>
      <c r="GK62" s="77"/>
      <c r="GL62" s="77"/>
      <c r="GM62" s="77"/>
      <c r="GN62" s="77"/>
      <c r="GO62" s="77"/>
      <c r="GP62" s="77"/>
      <c r="GQ62" s="77"/>
      <c r="GR62" s="77"/>
      <c r="GS62" s="77"/>
      <c r="GT62" s="77"/>
      <c r="GU62" s="77"/>
      <c r="GV62" s="77"/>
      <c r="GW62" s="77"/>
      <c r="GX62" s="77"/>
      <c r="GY62" s="77"/>
      <c r="GZ62" s="77"/>
      <c r="HA62" s="77"/>
      <c r="HB62" s="77"/>
      <c r="HC62" s="77"/>
      <c r="HD62" s="77"/>
      <c r="HE62" s="77"/>
      <c r="HF62" s="77"/>
      <c r="HG62" s="77"/>
      <c r="HH62" s="77"/>
      <c r="HI62" s="77"/>
      <c r="HJ62" s="77"/>
      <c r="HK62" s="77"/>
      <c r="HL62" s="77"/>
      <c r="HM62" s="77"/>
      <c r="HN62" s="77"/>
      <c r="HO62" s="77"/>
      <c r="HP62" s="77"/>
      <c r="HQ62" s="77"/>
      <c r="HR62" s="77"/>
      <c r="HS62" s="77"/>
      <c r="HT62" s="77"/>
      <c r="HU62" s="77"/>
      <c r="HV62" s="77"/>
      <c r="HW62" s="77"/>
      <c r="HX62" s="77"/>
      <c r="HY62" s="77"/>
      <c r="HZ62" s="77"/>
      <c r="IA62" s="77"/>
      <c r="IB62" s="77"/>
      <c r="IC62" s="77"/>
      <c r="ID62" s="77"/>
      <c r="IE62" s="77"/>
      <c r="IF62" s="77"/>
      <c r="IG62" s="77"/>
      <c r="IH62" s="77"/>
      <c r="II62" s="77"/>
      <c r="IJ62" s="77"/>
      <c r="IK62" s="77"/>
      <c r="IL62" s="77"/>
      <c r="IM62" s="77"/>
      <c r="IN62" s="77"/>
      <c r="IO62" s="77"/>
      <c r="IP62" s="77"/>
      <c r="IQ62" s="77"/>
      <c r="IR62" s="77"/>
      <c r="IS62" s="77"/>
      <c r="IT62" s="77"/>
      <c r="IU62" s="77"/>
      <c r="IV62" s="77"/>
      <c r="IW62" s="77"/>
    </row>
    <row r="1048575" customFormat="false" ht="12.8" hidden="false" customHeight="true" outlineLevel="0" collapsed="false"/>
    <row r="1048576" customFormat="false" ht="12.8" hidden="false" customHeight="true" outlineLevel="0" collapsed="false"/>
  </sheetData>
  <hyperlinks>
    <hyperlink ref="C3" r:id="rId1" display="aa5tb@arrl.com"/>
  </hyperlink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6" activeCellId="0" sqref="D16"/>
    </sheetView>
  </sheetViews>
  <sheetFormatPr defaultRowHeight="12.75" zeroHeight="false" outlineLevelRow="0" outlineLevelCol="0"/>
  <cols>
    <col collapsed="false" customWidth="true" hidden="false" outlineLevel="0" max="1" min="1" style="1" width="9.12"/>
    <col collapsed="false" customWidth="true" hidden="false" outlineLevel="0" max="2" min="2" style="1" width="7.4"/>
    <col collapsed="false" customWidth="true" hidden="false" outlineLevel="0" max="3" min="3" style="1" width="59.06"/>
    <col collapsed="false" customWidth="true" hidden="false" outlineLevel="0" max="257" min="4" style="1" width="9.12"/>
    <col collapsed="false" customWidth="true" hidden="false" outlineLevel="0" max="1025" min="258" style="0" width="9.12"/>
  </cols>
  <sheetData>
    <row r="1" customFormat="false" ht="15.75" hidden="false" customHeight="true" outlineLevel="0" collapsed="false">
      <c r="C1" s="122" t="s">
        <v>77</v>
      </c>
    </row>
    <row r="2" customFormat="false" ht="16.5" hidden="false" customHeight="true" outlineLevel="0" collapsed="false">
      <c r="C2" s="123" t="s">
        <v>78</v>
      </c>
    </row>
    <row r="4" customFormat="false" ht="15" hidden="false" customHeight="true" outlineLevel="0" collapsed="false">
      <c r="C4" s="124" t="s">
        <v>79</v>
      </c>
    </row>
    <row r="5" customFormat="false" ht="15" hidden="false" customHeight="true" outlineLevel="0" collapsed="false">
      <c r="C5" s="124" t="s">
        <v>80</v>
      </c>
      <c r="D5" s="125" t="s">
        <v>81</v>
      </c>
    </row>
    <row r="6" customFormat="false" ht="15" hidden="false" customHeight="true" outlineLevel="0" collapsed="false">
      <c r="C6" s="124" t="s">
        <v>82</v>
      </c>
    </row>
    <row r="7" customFormat="false" ht="15" hidden="false" customHeight="true" outlineLevel="0" collapsed="false">
      <c r="C7" s="124" t="s">
        <v>83</v>
      </c>
    </row>
    <row r="8" customFormat="false" ht="15" hidden="false" customHeight="true" outlineLevel="0" collapsed="false">
      <c r="C8" s="124" t="s">
        <v>84</v>
      </c>
    </row>
    <row r="9" customFormat="false" ht="15" hidden="false" customHeight="true" outlineLevel="0" collapsed="false">
      <c r="C9" s="124" t="s">
        <v>85</v>
      </c>
      <c r="D9" s="125" t="s">
        <v>86</v>
      </c>
    </row>
    <row r="10" customFormat="false" ht="15" hidden="false" customHeight="true" outlineLevel="0" collapsed="false">
      <c r="C10" s="124" t="s">
        <v>87</v>
      </c>
    </row>
    <row r="11" customFormat="false" ht="15" hidden="false" customHeight="true" outlineLevel="0" collapsed="false">
      <c r="C11" s="124" t="s">
        <v>88</v>
      </c>
    </row>
    <row r="12" customFormat="false" ht="15" hidden="false" customHeight="true" outlineLevel="0" collapsed="false">
      <c r="C12" s="124" t="s">
        <v>89</v>
      </c>
      <c r="D12" s="126" t="s">
        <v>90</v>
      </c>
    </row>
    <row r="13" customFormat="false" ht="15" hidden="false" customHeight="true" outlineLevel="0" collapsed="false">
      <c r="C13" s="124" t="s">
        <v>91</v>
      </c>
      <c r="D13" s="125" t="s">
        <v>92</v>
      </c>
    </row>
    <row r="14" customFormat="false" ht="15" hidden="false" customHeight="true" outlineLevel="0" collapsed="false">
      <c r="C14" s="124" t="s">
        <v>93</v>
      </c>
    </row>
    <row r="15" customFormat="false" ht="15" hidden="false" customHeight="true" outlineLevel="0" collapsed="false">
      <c r="C15" s="124" t="s">
        <v>94</v>
      </c>
    </row>
    <row r="16" customFormat="false" ht="16.5" hidden="false" customHeight="true" outlineLevel="0" collapsed="false">
      <c r="B16" s="127" t="s">
        <v>95</v>
      </c>
    </row>
    <row r="17" customFormat="false" ht="15" hidden="false" customHeight="true" outlineLevel="0" collapsed="false">
      <c r="C17" s="124" t="s">
        <v>96</v>
      </c>
    </row>
    <row r="18" customFormat="false" ht="15" hidden="false" customHeight="true" outlineLevel="0" collapsed="false">
      <c r="C18" s="124" t="s">
        <v>97</v>
      </c>
    </row>
    <row r="19" customFormat="false" ht="15" hidden="false" customHeight="true" outlineLevel="0" collapsed="false">
      <c r="C19" s="124" t="s">
        <v>98</v>
      </c>
    </row>
    <row r="20" customFormat="false" ht="15" hidden="false" customHeight="true" outlineLevel="0" collapsed="false">
      <c r="C20" s="124" t="s">
        <v>99</v>
      </c>
    </row>
    <row r="21" customFormat="false" ht="15" hidden="false" customHeight="true" outlineLevel="0" collapsed="false">
      <c r="C21" s="124" t="s">
        <v>100</v>
      </c>
    </row>
    <row r="22" customFormat="false" ht="15" hidden="false" customHeight="true" outlineLevel="0" collapsed="false">
      <c r="C22" s="124" t="s">
        <v>101</v>
      </c>
    </row>
    <row r="23" customFormat="false" ht="15" hidden="false" customHeight="true" outlineLevel="0" collapsed="false">
      <c r="C23" s="124" t="s">
        <v>102</v>
      </c>
    </row>
    <row r="24" customFormat="false" ht="15" hidden="false" customHeight="true" outlineLevel="0" collapsed="false">
      <c r="C24" s="124"/>
    </row>
    <row r="25" customFormat="false" ht="15" hidden="false" customHeight="true" outlineLevel="0" collapsed="false">
      <c r="A25" s="128" t="s">
        <v>103</v>
      </c>
      <c r="B25" s="129" t="s">
        <v>104</v>
      </c>
    </row>
    <row r="26" customFormat="false" ht="15" hidden="false" customHeight="true" outlineLevel="0" collapsed="false">
      <c r="B26" s="129" t="s">
        <v>105</v>
      </c>
    </row>
    <row r="27" customFormat="false" ht="15" hidden="false" customHeight="true" outlineLevel="0" collapsed="false">
      <c r="B27" s="129" t="s">
        <v>106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63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H23" activeCellId="0" sqref="H23"/>
    </sheetView>
  </sheetViews>
  <sheetFormatPr defaultRowHeight="12.75" zeroHeight="false" outlineLevelRow="0" outlineLevelCol="0"/>
  <cols>
    <col collapsed="false" customWidth="true" hidden="false" outlineLevel="0" max="1" min="1" style="1" width="25.1"/>
    <col collapsed="false" customWidth="true" hidden="false" outlineLevel="0" max="2" min="2" style="130" width="15.26"/>
    <col collapsed="false" customWidth="true" hidden="false" outlineLevel="0" max="5" min="3" style="130" width="13.68"/>
    <col collapsed="false" customWidth="true" hidden="false" outlineLevel="0" max="6" min="6" style="130" width="17.53"/>
    <col collapsed="false" customWidth="true" hidden="false" outlineLevel="0" max="13" min="7" style="130" width="13.68"/>
    <col collapsed="false" customWidth="true" hidden="false" outlineLevel="0" max="14" min="14" style="1" width="15.68"/>
    <col collapsed="false" customWidth="true" hidden="false" outlineLevel="0" max="15" min="15" style="1" width="12.83"/>
    <col collapsed="false" customWidth="true" hidden="false" outlineLevel="0" max="16" min="16" style="1" width="19.11"/>
    <col collapsed="false" customWidth="true" hidden="false" outlineLevel="0" max="17" min="17" style="1" width="9.12"/>
    <col collapsed="false" customWidth="true" hidden="false" outlineLevel="0" max="18" min="18" style="1" width="17.96"/>
    <col collapsed="false" customWidth="true" hidden="false" outlineLevel="0" max="257" min="19" style="1" width="9.12"/>
    <col collapsed="false" customWidth="true" hidden="false" outlineLevel="0" max="1025" min="258" style="0" width="9.12"/>
  </cols>
  <sheetData>
    <row r="1" customFormat="false" ht="12.75" hidden="false" customHeight="true" outlineLevel="0" collapsed="false">
      <c r="A1" s="131"/>
    </row>
    <row r="2" customFormat="false" ht="12.75" hidden="false" customHeight="true" outlineLevel="0" collapsed="false">
      <c r="A2" s="2" t="s">
        <v>107</v>
      </c>
      <c r="G2" s="132"/>
    </row>
    <row r="3" customFormat="false" ht="12.75" hidden="false" customHeight="true" outlineLevel="0" collapsed="false">
      <c r="A3" s="133" t="s">
        <v>108</v>
      </c>
      <c r="B3" s="134" t="n">
        <f aca="false">PI()</f>
        <v>3.14159265358979</v>
      </c>
      <c r="C3" s="135"/>
      <c r="D3" s="136"/>
      <c r="E3" s="137"/>
      <c r="F3" s="132" t="s">
        <v>109</v>
      </c>
    </row>
    <row r="4" customFormat="false" ht="12.75" hidden="false" customHeight="true" outlineLevel="0" collapsed="false">
      <c r="A4" s="138" t="s">
        <v>110</v>
      </c>
      <c r="B4" s="139" t="n">
        <f aca="false">(Main!C16)*12</f>
        <v>31.5</v>
      </c>
      <c r="C4" s="136" t="s">
        <v>18</v>
      </c>
      <c r="D4" s="140" t="n">
        <f aca="false">B4*0.0254</f>
        <v>0.8001</v>
      </c>
      <c r="E4" s="141" t="s">
        <v>16</v>
      </c>
      <c r="F4" s="140" t="n">
        <f aca="false">D4*PI()</f>
        <v>2.51358828213719</v>
      </c>
    </row>
    <row r="5" customFormat="false" ht="12.75" hidden="false" customHeight="true" outlineLevel="0" collapsed="false">
      <c r="A5" s="138" t="s">
        <v>111</v>
      </c>
      <c r="B5" s="139" t="n">
        <f aca="false">Main!C17</f>
        <v>0.49213</v>
      </c>
      <c r="C5" s="136" t="s">
        <v>18</v>
      </c>
      <c r="D5" s="136" t="n">
        <f aca="false">B5*0.0254</f>
        <v>0.012500102</v>
      </c>
      <c r="E5" s="137" t="s">
        <v>16</v>
      </c>
    </row>
    <row r="6" customFormat="false" ht="12.75" hidden="false" customHeight="true" outlineLevel="0" collapsed="false">
      <c r="A6" s="138" t="s">
        <v>112</v>
      </c>
      <c r="B6" s="139" t="n">
        <f aca="false">Main!C19</f>
        <v>80</v>
      </c>
      <c r="C6" s="136" t="s">
        <v>37</v>
      </c>
      <c r="D6" s="136" t="n">
        <f aca="false">B6/1000</f>
        <v>0.08</v>
      </c>
      <c r="E6" s="137" t="s">
        <v>113</v>
      </c>
    </row>
    <row r="7" customFormat="false" ht="12.75" hidden="false" customHeight="true" outlineLevel="0" collapsed="false">
      <c r="A7" s="138" t="s">
        <v>114</v>
      </c>
      <c r="B7" s="142" t="n">
        <f aca="false">Main!C20</f>
        <v>100</v>
      </c>
      <c r="C7" s="135" t="s">
        <v>25</v>
      </c>
      <c r="D7" s="136"/>
      <c r="E7" s="137"/>
    </row>
    <row r="8" customFormat="false" ht="12.75" hidden="false" customHeight="true" outlineLevel="0" collapsed="false">
      <c r="A8" s="138" t="s">
        <v>115</v>
      </c>
      <c r="B8" s="139" t="n">
        <f aca="false">Main!C15</f>
        <v>18.1</v>
      </c>
      <c r="C8" s="136" t="s">
        <v>12</v>
      </c>
      <c r="D8" s="143" t="n">
        <f aca="false">B8*1000000</f>
        <v>18100000</v>
      </c>
      <c r="E8" s="137" t="s">
        <v>116</v>
      </c>
    </row>
    <row r="9" customFormat="false" ht="12.75" hidden="false" customHeight="true" outlineLevel="0" collapsed="false">
      <c r="A9" s="131"/>
      <c r="B9" s="144" t="n">
        <f aca="false">(96*B11)/(B3*B5)</f>
        <v>512.059821591856</v>
      </c>
    </row>
    <row r="10" customFormat="false" ht="12.75" hidden="false" customHeight="true" outlineLevel="0" collapsed="false">
      <c r="A10" s="2" t="s">
        <v>117</v>
      </c>
    </row>
    <row r="11" customFormat="false" ht="12.75" hidden="false" customHeight="true" outlineLevel="0" collapsed="false">
      <c r="A11" s="138" t="s">
        <v>118</v>
      </c>
      <c r="B11" s="145" t="n">
        <f aca="false">(Main!C16*B3)</f>
        <v>8.24668071567321</v>
      </c>
      <c r="C11" s="146" t="s">
        <v>119</v>
      </c>
      <c r="D11" s="147" t="n">
        <f aca="false">B11*0.3048</f>
        <v>2.51358828213719</v>
      </c>
      <c r="E11" s="147" t="s">
        <v>16</v>
      </c>
      <c r="F11" s="148"/>
      <c r="G11" s="149"/>
    </row>
    <row r="12" customFormat="false" ht="12.75" hidden="false" customHeight="true" outlineLevel="0" collapsed="false">
      <c r="A12" s="138" t="s">
        <v>120</v>
      </c>
      <c r="B12" s="145" t="n">
        <f aca="false">B3*((B4/24)*(B4/24))</f>
        <v>5.41188421966054</v>
      </c>
      <c r="C12" s="146" t="s">
        <v>34</v>
      </c>
      <c r="D12" s="147" t="n">
        <f aca="false">B12*0.09290304</f>
        <v>0.502780496134492</v>
      </c>
      <c r="E12" s="147" t="s">
        <v>35</v>
      </c>
      <c r="F12" s="147"/>
      <c r="G12" s="150"/>
    </row>
    <row r="13" customFormat="false" ht="12.75" hidden="false" customHeight="true" outlineLevel="0" collapsed="false">
      <c r="A13" s="138" t="s">
        <v>121</v>
      </c>
      <c r="B13" s="151" t="n">
        <f aca="false">(0.0000000338)*(((B8*B8)*B12)*((B8*B8)*B12))</f>
        <v>0.106249768740822</v>
      </c>
      <c r="C13" s="147" t="s">
        <v>113</v>
      </c>
      <c r="D13" s="146" t="n">
        <f aca="false">B13*1000</f>
        <v>106.249768740822</v>
      </c>
      <c r="E13" s="146" t="s">
        <v>37</v>
      </c>
      <c r="F13" s="147"/>
      <c r="G13" s="150"/>
    </row>
    <row r="14" customFormat="false" ht="12.75" hidden="false" customHeight="true" outlineLevel="0" collapsed="false">
      <c r="A14" s="138" t="s">
        <v>122</v>
      </c>
      <c r="B14" s="151" t="n">
        <f aca="false">(0.000996)*SQRT(B8)*(B11/B5)/(Main!C18/100)</f>
        <v>0.142012954163062</v>
      </c>
      <c r="C14" s="147" t="s">
        <v>113</v>
      </c>
      <c r="D14" s="146" t="n">
        <f aca="false">B14*1000</f>
        <v>142.012954163062</v>
      </c>
      <c r="E14" s="152" t="s">
        <v>37</v>
      </c>
      <c r="F14" s="147"/>
      <c r="G14" s="150"/>
    </row>
    <row r="15" customFormat="false" ht="12.75" hidden="false" customHeight="true" outlineLevel="0" collapsed="false">
      <c r="A15" s="138" t="s">
        <v>123</v>
      </c>
      <c r="B15" s="153" t="n">
        <f aca="false">D6+B14</f>
        <v>0.222012954163062</v>
      </c>
      <c r="C15" s="154" t="s">
        <v>113</v>
      </c>
      <c r="D15" s="155" t="n">
        <f aca="false">B15*1000</f>
        <v>222.012954163062</v>
      </c>
      <c r="E15" s="146" t="s">
        <v>37</v>
      </c>
      <c r="F15" s="147"/>
      <c r="G15" s="150"/>
    </row>
    <row r="16" customFormat="false" ht="12.75" hidden="false" customHeight="true" outlineLevel="0" collapsed="false">
      <c r="A16" s="138" t="s">
        <v>124</v>
      </c>
      <c r="B16" s="156" t="n">
        <f aca="false">B13/(B13+B15)</f>
        <v>0.323672964754917</v>
      </c>
      <c r="C16" s="157"/>
      <c r="D16" s="158" t="n">
        <f aca="false">B16*100</f>
        <v>32.3672964754917</v>
      </c>
      <c r="E16" s="158" t="s">
        <v>31</v>
      </c>
      <c r="F16" s="152" t="n">
        <f aca="false">(LOG10(B16))*10</f>
        <v>-4.89893574147305</v>
      </c>
      <c r="G16" s="159" t="s">
        <v>32</v>
      </c>
    </row>
    <row r="17" customFormat="false" ht="12.75" hidden="false" customHeight="true" outlineLevel="0" collapsed="false">
      <c r="A17" s="138" t="s">
        <v>125</v>
      </c>
      <c r="B17" s="151" t="n">
        <f aca="false">(0.000000019)*B11*((7.353*(LOG(B9,10))-6.386))</f>
        <v>2.12085715988095E-006</v>
      </c>
      <c r="C17" s="147" t="s">
        <v>126</v>
      </c>
      <c r="D17" s="146" t="n">
        <f aca="false">B17*1000000</f>
        <v>2.12085715988095</v>
      </c>
      <c r="E17" s="146" t="s">
        <v>44</v>
      </c>
      <c r="F17" s="147"/>
      <c r="G17" s="150"/>
    </row>
    <row r="18" customFormat="false" ht="12.75" hidden="false" customHeight="true" outlineLevel="0" collapsed="false">
      <c r="A18" s="138" t="s">
        <v>127</v>
      </c>
      <c r="B18" s="160" t="n">
        <f aca="false">2*B3*B8*B17*1000000</f>
        <v>241.19586767519</v>
      </c>
      <c r="C18" s="146" t="s">
        <v>113</v>
      </c>
      <c r="D18" s="147"/>
      <c r="E18" s="147"/>
      <c r="F18" s="147"/>
      <c r="G18" s="150"/>
    </row>
    <row r="19" customFormat="false" ht="12.75" hidden="false" customHeight="true" outlineLevel="0" collapsed="false">
      <c r="A19" s="138" t="s">
        <v>128</v>
      </c>
      <c r="B19" s="151" t="n">
        <f aca="false">1/(2*B3*B8*B18*1000000)</f>
        <v>3.64562248238808E-011</v>
      </c>
      <c r="C19" s="147" t="s">
        <v>129</v>
      </c>
      <c r="D19" s="146" t="n">
        <f aca="false">B19*1000000000000</f>
        <v>36.4562248238808</v>
      </c>
      <c r="E19" s="146" t="s">
        <v>130</v>
      </c>
      <c r="F19" s="147"/>
      <c r="G19" s="150"/>
      <c r="H19" s="130" t="s">
        <v>131</v>
      </c>
    </row>
    <row r="20" customFormat="false" ht="12.75" hidden="false" customHeight="true" outlineLevel="0" collapsed="false">
      <c r="A20" s="138" t="s">
        <v>132</v>
      </c>
      <c r="B20" s="151" t="n">
        <f aca="false">B18/(2*(B13+B15))</f>
        <v>367.382359991288</v>
      </c>
      <c r="C20" s="147"/>
      <c r="D20" s="147"/>
      <c r="E20" s="147"/>
      <c r="F20" s="147"/>
      <c r="G20" s="150"/>
    </row>
    <row r="21" customFormat="false" ht="12.75" hidden="false" customHeight="true" outlineLevel="0" collapsed="false">
      <c r="A21" s="138" t="s">
        <v>133</v>
      </c>
      <c r="B21" s="156" t="n">
        <f aca="false">B18/(2*(B13))</f>
        <v>1135.04184777826</v>
      </c>
      <c r="C21" s="147"/>
      <c r="D21" s="147"/>
      <c r="E21" s="147"/>
      <c r="F21" s="147"/>
      <c r="G21" s="150"/>
    </row>
    <row r="22" customFormat="false" ht="12.75" hidden="false" customHeight="true" outlineLevel="0" collapsed="false">
      <c r="A22" s="138" t="s">
        <v>134</v>
      </c>
      <c r="B22" s="151" t="n">
        <f aca="false">D8/B20</f>
        <v>49267.471634809</v>
      </c>
      <c r="C22" s="147" t="s">
        <v>116</v>
      </c>
      <c r="D22" s="146" t="n">
        <f aca="false">B22/1000</f>
        <v>49.267471634809</v>
      </c>
      <c r="E22" s="146" t="s">
        <v>68</v>
      </c>
      <c r="F22" s="147"/>
      <c r="G22" s="150"/>
    </row>
    <row r="23" customFormat="false" ht="12.75" hidden="false" customHeight="true" outlineLevel="0" collapsed="false">
      <c r="A23" s="138" t="s">
        <v>135</v>
      </c>
      <c r="B23" s="161" t="n">
        <f aca="false">8.92*D11/(2*B3)</f>
        <v>3.568446</v>
      </c>
      <c r="C23" s="158" t="s">
        <v>130</v>
      </c>
      <c r="D23" s="147"/>
      <c r="E23" s="147"/>
      <c r="F23" s="147"/>
      <c r="G23" s="150"/>
      <c r="H23" s="130" t="s">
        <v>136</v>
      </c>
    </row>
    <row r="24" customFormat="false" ht="12.75" hidden="false" customHeight="true" outlineLevel="0" collapsed="false">
      <c r="A24" s="138" t="s">
        <v>137</v>
      </c>
      <c r="B24" s="162" t="n">
        <f aca="false">SQRT(B7*B18*B20)</f>
        <v>2976.76178231746</v>
      </c>
      <c r="C24" s="146" t="s">
        <v>138</v>
      </c>
      <c r="D24" s="147"/>
      <c r="E24" s="147"/>
      <c r="F24" s="147"/>
      <c r="G24" s="150"/>
    </row>
    <row r="25" customFormat="false" ht="12.75" hidden="false" customHeight="true" outlineLevel="0" collapsed="false">
      <c r="A25" s="138" t="s">
        <v>139</v>
      </c>
      <c r="B25" s="163" t="n">
        <f aca="false">B24/75000</f>
        <v>0.0396901570975661</v>
      </c>
      <c r="C25" s="148" t="s">
        <v>140</v>
      </c>
      <c r="D25" s="146" t="n">
        <f aca="false">B25*1000</f>
        <v>39.6901570975661</v>
      </c>
      <c r="E25" s="146" t="s">
        <v>141</v>
      </c>
      <c r="F25" s="146" t="n">
        <f aca="false">25.4*B25</f>
        <v>1.00812999027818</v>
      </c>
      <c r="G25" s="164" t="s">
        <v>19</v>
      </c>
    </row>
    <row r="26" customFormat="false" ht="12.75" hidden="false" customHeight="true" outlineLevel="0" collapsed="false">
      <c r="A26" s="138" t="s">
        <v>142</v>
      </c>
      <c r="B26" s="151" t="n">
        <f aca="false">D26*3.28083</f>
        <v>54.3408766955801</v>
      </c>
      <c r="C26" s="147" t="s">
        <v>119</v>
      </c>
      <c r="D26" s="146" t="n">
        <f aca="false">299793000/D8</f>
        <v>16.5631491712707</v>
      </c>
      <c r="E26" s="146" t="s">
        <v>16</v>
      </c>
      <c r="F26" s="147"/>
      <c r="G26" s="150"/>
    </row>
    <row r="27" customFormat="false" ht="12.75" hidden="false" customHeight="true" outlineLevel="0" collapsed="false">
      <c r="A27" s="138" t="s">
        <v>143</v>
      </c>
      <c r="B27" s="161" t="n">
        <f aca="false">(D11/D26)*100</f>
        <v>15.1757872621053</v>
      </c>
      <c r="C27" s="155" t="s">
        <v>31</v>
      </c>
      <c r="D27" s="147"/>
      <c r="E27" s="147"/>
      <c r="F27" s="147"/>
      <c r="G27" s="150"/>
    </row>
    <row r="28" customFormat="false" ht="12.75" hidden="false" customHeight="true" outlineLevel="0" collapsed="false">
      <c r="A28" s="165"/>
      <c r="B28" s="158"/>
      <c r="C28" s="158"/>
      <c r="D28" s="157"/>
      <c r="E28" s="157"/>
      <c r="F28" s="157"/>
      <c r="G28" s="157"/>
    </row>
    <row r="29" customFormat="false" ht="12.75" hidden="false" customHeight="true" outlineLevel="0" collapsed="false">
      <c r="A29" s="98"/>
    </row>
    <row r="30" customFormat="false" ht="12.75" hidden="false" customHeight="true" outlineLevel="0" collapsed="false">
      <c r="A30" s="166"/>
      <c r="B30" s="167" t="s">
        <v>144</v>
      </c>
      <c r="C30" s="168" t="s">
        <v>145</v>
      </c>
      <c r="D30" s="168" t="s">
        <v>146</v>
      </c>
      <c r="E30" s="169"/>
      <c r="F30" s="168" t="s">
        <v>147</v>
      </c>
      <c r="G30" s="169" t="s">
        <v>148</v>
      </c>
      <c r="H30" s="168" t="s">
        <v>149</v>
      </c>
      <c r="I30" s="169"/>
      <c r="J30" s="170" t="s">
        <v>150</v>
      </c>
      <c r="K30" s="168" t="s">
        <v>151</v>
      </c>
      <c r="L30" s="168"/>
      <c r="M30" s="168"/>
      <c r="N30" s="171"/>
      <c r="O30" s="172"/>
      <c r="P30" s="173"/>
    </row>
    <row r="31" customFormat="false" ht="12.75" hidden="false" customHeight="true" outlineLevel="0" collapsed="false">
      <c r="A31" s="174" t="s">
        <v>152</v>
      </c>
      <c r="B31" s="175" t="s">
        <v>153</v>
      </c>
      <c r="C31" s="175" t="s">
        <v>153</v>
      </c>
      <c r="D31" s="175" t="s">
        <v>153</v>
      </c>
      <c r="E31" s="176" t="s">
        <v>154</v>
      </c>
      <c r="F31" s="175" t="s">
        <v>155</v>
      </c>
      <c r="G31" s="176" t="s">
        <v>150</v>
      </c>
      <c r="H31" s="175" t="s">
        <v>156</v>
      </c>
      <c r="I31" s="176" t="s">
        <v>157</v>
      </c>
      <c r="J31" s="177" t="s">
        <v>158</v>
      </c>
      <c r="K31" s="175" t="s">
        <v>159</v>
      </c>
      <c r="L31" s="175" t="s">
        <v>160</v>
      </c>
      <c r="M31" s="175" t="s">
        <v>161</v>
      </c>
      <c r="N31" s="178" t="s">
        <v>162</v>
      </c>
      <c r="O31" s="179" t="s">
        <v>154</v>
      </c>
      <c r="P31" s="180" t="s">
        <v>163</v>
      </c>
      <c r="R31" s="130"/>
    </row>
    <row r="32" customFormat="false" ht="12.75" hidden="false" customHeight="true" outlineLevel="0" collapsed="false">
      <c r="A32" s="181" t="s">
        <v>129</v>
      </c>
      <c r="B32" s="182" t="s">
        <v>164</v>
      </c>
      <c r="C32" s="182" t="s">
        <v>165</v>
      </c>
      <c r="D32" s="183" t="s">
        <v>166</v>
      </c>
      <c r="E32" s="184" t="s">
        <v>167</v>
      </c>
      <c r="F32" s="182" t="s">
        <v>168</v>
      </c>
      <c r="G32" s="185" t="s">
        <v>169</v>
      </c>
      <c r="H32" s="186" t="s">
        <v>170</v>
      </c>
      <c r="I32" s="187" t="s">
        <v>171</v>
      </c>
      <c r="J32" s="188" t="s">
        <v>172</v>
      </c>
      <c r="K32" s="182" t="s">
        <v>173</v>
      </c>
      <c r="L32" s="186" t="s">
        <v>174</v>
      </c>
      <c r="M32" s="189" t="s">
        <v>42</v>
      </c>
      <c r="N32" s="178" t="s">
        <v>175</v>
      </c>
      <c r="O32" s="190" t="s">
        <v>167</v>
      </c>
      <c r="P32" s="191"/>
    </row>
    <row r="33" customFormat="false" ht="12.75" hidden="false" customHeight="true" outlineLevel="0" collapsed="false">
      <c r="A33" s="192" t="s">
        <v>12</v>
      </c>
      <c r="B33" s="193" t="s">
        <v>37</v>
      </c>
      <c r="C33" s="193" t="s">
        <v>37</v>
      </c>
      <c r="D33" s="193" t="s">
        <v>37</v>
      </c>
      <c r="E33" s="194" t="s">
        <v>32</v>
      </c>
      <c r="F33" s="193" t="s">
        <v>113</v>
      </c>
      <c r="G33" s="194" t="s">
        <v>130</v>
      </c>
      <c r="H33" s="193"/>
      <c r="I33" s="194" t="s">
        <v>68</v>
      </c>
      <c r="J33" s="195" t="s">
        <v>138</v>
      </c>
      <c r="K33" s="193" t="s">
        <v>141</v>
      </c>
      <c r="L33" s="193" t="s">
        <v>16</v>
      </c>
      <c r="M33" s="196"/>
      <c r="N33" s="197"/>
      <c r="O33" s="198" t="s">
        <v>176</v>
      </c>
      <c r="P33" s="199" t="s">
        <v>177</v>
      </c>
    </row>
    <row r="34" customFormat="false" ht="12.75" hidden="false" customHeight="true" outlineLevel="0" collapsed="false">
      <c r="A34" s="200" t="n">
        <v>1</v>
      </c>
      <c r="B34" s="201" t="n">
        <f aca="false">((0.0000000338)*(((A34*A34)*B12)*((A34*A34)*B12)))*1000</f>
        <v>0.000989950989276965</v>
      </c>
      <c r="C34" s="201" t="n">
        <f aca="false">((0.000996)*SQRT(A34)*(B11/B5))*1000/(Main!C18/100)</f>
        <v>33.3801800045131</v>
      </c>
      <c r="D34" s="201" t="n">
        <f aca="false">C34+B6</f>
        <v>113.380180004513</v>
      </c>
      <c r="E34" s="202" t="n">
        <f aca="false">10*LOG(B34/(B34+D34))</f>
        <v>-50.5892724008997</v>
      </c>
      <c r="F34" s="201" t="n">
        <f aca="false">2*B3*A34*B17*1000000</f>
        <v>13.3257385455906</v>
      </c>
      <c r="G34" s="202" t="n">
        <f aca="false">(1/(2*B3*A34*F34*1000000))*1000000000000</f>
        <v>11943.4238145516</v>
      </c>
      <c r="H34" s="201" t="n">
        <f aca="false">F34/((2*(B34+D34))/1000)</f>
        <v>58.7652189107788</v>
      </c>
      <c r="I34" s="202" t="n">
        <f aca="false">(A34/H34)*1000</f>
        <v>17.0168684561231</v>
      </c>
      <c r="J34" s="201" t="n">
        <f aca="false">SQRT(B7*F34*H34)</f>
        <v>279.837442594703</v>
      </c>
      <c r="K34" s="201" t="n">
        <f aca="false">1000*(J34/75000)</f>
        <v>3.7311659012627</v>
      </c>
      <c r="L34" s="201" t="n">
        <f aca="false">299.793/A34</f>
        <v>299.793</v>
      </c>
      <c r="M34" s="201" t="n">
        <f aca="false">(D11/L34*100)</f>
        <v>0.838441285199185</v>
      </c>
      <c r="N34" s="203" t="n">
        <f aca="false">F34/((2*(B34))/1000)</f>
        <v>6730504.1814865</v>
      </c>
      <c r="O34" s="204" t="n">
        <f aca="false">H34/N34</f>
        <v>8.73117634670273E-006</v>
      </c>
      <c r="P34" s="200" t="n">
        <f aca="false">-20*LOG10(2*$F$4/L34)</f>
        <v>35.5099469865623</v>
      </c>
    </row>
    <row r="35" customFormat="false" ht="12.75" hidden="false" customHeight="true" outlineLevel="0" collapsed="false">
      <c r="A35" s="200" t="n">
        <v>2</v>
      </c>
      <c r="B35" s="201" t="n">
        <f aca="false">((0.0000000338)*(((A35*A35)*B12)*((A35*A35)*B12)))*1000</f>
        <v>0.0158392158284314</v>
      </c>
      <c r="C35" s="201" t="n">
        <f aca="false">((0.000996)*SQRT(A35)*(B11/B5))*1000/(Main!C18/100)</f>
        <v>47.2067032768376</v>
      </c>
      <c r="D35" s="201" t="n">
        <f aca="false">C35+B6</f>
        <v>127.206703276838</v>
      </c>
      <c r="E35" s="202" t="n">
        <f aca="false">10*LOG(B35/(B35+D35))</f>
        <v>-39.0483039389848</v>
      </c>
      <c r="F35" s="201" t="n">
        <f aca="false">2*B3*A35*B17*1000000</f>
        <v>26.6514770911812</v>
      </c>
      <c r="G35" s="202" t="n">
        <f aca="false">(1/(2*B3*A35*F35*1000000))*1000000000000</f>
        <v>2985.8559536379</v>
      </c>
      <c r="H35" s="201" t="n">
        <f aca="false">F35/((2*(B35+D35))/1000)</f>
        <v>104.743532745848</v>
      </c>
      <c r="I35" s="202" t="n">
        <f aca="false">(A35/H35)*1000</f>
        <v>19.0942576364389</v>
      </c>
      <c r="J35" s="201" t="n">
        <f aca="false">SQRT(B7*F35*H35)</f>
        <v>528.353088703508</v>
      </c>
      <c r="K35" s="201" t="n">
        <f aca="false">1000*(J35/75000)</f>
        <v>7.0447078493801</v>
      </c>
      <c r="L35" s="201" t="n">
        <f aca="false">299.793/A35</f>
        <v>149.8965</v>
      </c>
      <c r="M35" s="201" t="n">
        <f aca="false">(D11/L35)*100</f>
        <v>1.67688257039837</v>
      </c>
      <c r="N35" s="203" t="n">
        <f aca="false">F35/((2*(B35))/1000)</f>
        <v>841313.022685813</v>
      </c>
      <c r="O35" s="204" t="n">
        <f aca="false">H35/N35</f>
        <v>0.000124500073006673</v>
      </c>
      <c r="P35" s="200" t="n">
        <f aca="false">-20*LOG10(2*$F$4/L35)</f>
        <v>29.4893470732826</v>
      </c>
    </row>
    <row r="36" customFormat="false" ht="12.75" hidden="false" customHeight="true" outlineLevel="0" collapsed="false">
      <c r="A36" s="200" t="n">
        <v>3</v>
      </c>
      <c r="B36" s="201" t="n">
        <f aca="false">((0.0000000338)*(((A36*A36)*B12)*((A36*A36)*B12)))*1000</f>
        <v>0.0801860301314341</v>
      </c>
      <c r="C36" s="201" t="n">
        <f aca="false">((0.000996)*SQRT(A36)*(B11/B5))*1000/(Main!C18/100)</f>
        <v>57.8161677336114</v>
      </c>
      <c r="D36" s="201" t="n">
        <f aca="false">C36+B6</f>
        <v>137.816167733611</v>
      </c>
      <c r="E36" s="202" t="n">
        <f aca="false">10*LOG(B36/(B36+D36))</f>
        <v>-32.3545406991668</v>
      </c>
      <c r="F36" s="201" t="n">
        <f aca="false">2*B3*A36*B17*1000000</f>
        <v>39.9772156367719</v>
      </c>
      <c r="G36" s="202" t="n">
        <f aca="false">(1/(2*B3*A36*F36*1000000))*1000000000000</f>
        <v>1327.04709050573</v>
      </c>
      <c r="H36" s="201" t="n">
        <f aca="false">F36/((2*(B36+D36))/1000)</f>
        <v>144.953853186229</v>
      </c>
      <c r="I36" s="202" t="n">
        <f aca="false">(A36/H36)*1000</f>
        <v>20.6962418318453</v>
      </c>
      <c r="J36" s="201" t="n">
        <f aca="false">SQRT(B7*F36*H36)</f>
        <v>761.239216423252</v>
      </c>
      <c r="K36" s="201" t="n">
        <f aca="false">1000*(J36/75000)</f>
        <v>10.1498562189767</v>
      </c>
      <c r="L36" s="201" t="n">
        <f aca="false">299.793/A36</f>
        <v>99.931</v>
      </c>
      <c r="M36" s="201" t="n">
        <f aca="false">(D11/L36)*100</f>
        <v>2.51532385559756</v>
      </c>
      <c r="N36" s="203" t="n">
        <f aca="false">F36/((2*(B36))/1000)</f>
        <v>249277.932647648</v>
      </c>
      <c r="O36" s="204" t="n">
        <f aca="false">H36/N36</f>
        <v>0.000581494926753585</v>
      </c>
      <c r="P36" s="200" t="n">
        <f aca="false">-20*LOG10(2*$F$4/L36)</f>
        <v>25.967521892169</v>
      </c>
    </row>
    <row r="37" s="209" customFormat="true" ht="12.75" hidden="false" customHeight="true" outlineLevel="0" collapsed="false">
      <c r="A37" s="205" t="n">
        <v>4</v>
      </c>
      <c r="B37" s="206" t="n">
        <f aca="false">((0.0000000338)*(((A37*A37)*B12)*((A37*A37)*B12)))*1000</f>
        <v>0.253427453254903</v>
      </c>
      <c r="C37" s="206" t="n">
        <f aca="false">((0.000996)*SQRT(A37)*(B11/B5))*1000/(Main!C18/100)</f>
        <v>66.7603600090262</v>
      </c>
      <c r="D37" s="206" t="n">
        <f aca="false">C37+B6</f>
        <v>146.760360009026</v>
      </c>
      <c r="E37" s="206" t="n">
        <f aca="false">10*LOG(B37/(B37+D37))</f>
        <v>-27.6350440700945</v>
      </c>
      <c r="F37" s="206" t="n">
        <f aca="false">2*B3*A37*B17*1000000</f>
        <v>53.3029541823625</v>
      </c>
      <c r="G37" s="206" t="n">
        <f aca="false">(1/(2*B3*A37*F37*1000000))*1000000000000</f>
        <v>746.463988409475</v>
      </c>
      <c r="H37" s="206" t="n">
        <f aca="false">F37/((2*(B37+D37))/1000)</f>
        <v>181.285562063484</v>
      </c>
      <c r="I37" s="206" t="n">
        <f aca="false">(A37/H37)*1000</f>
        <v>22.0646363365619</v>
      </c>
      <c r="J37" s="206" t="n">
        <f aca="false">SQRT(B7*F37*H37)</f>
        <v>983.008443941034</v>
      </c>
      <c r="K37" s="206" t="n">
        <f aca="false">1000*(J37/75000)</f>
        <v>13.1067792525471</v>
      </c>
      <c r="L37" s="206" t="n">
        <f aca="false">299.793/A37</f>
        <v>74.94825</v>
      </c>
      <c r="M37" s="206" t="n">
        <f aca="false">(D11/L37)*100</f>
        <v>3.35376514079674</v>
      </c>
      <c r="N37" s="207" t="n">
        <f aca="false">F37/((2*(B37))/1000)</f>
        <v>105164.127835727</v>
      </c>
      <c r="O37" s="208" t="n">
        <f aca="false">H37/N37</f>
        <v>0.00172383459830204</v>
      </c>
      <c r="P37" s="200" t="n">
        <f aca="false">-20*LOG10(2*$F$4/L37)</f>
        <v>23.468747160003</v>
      </c>
    </row>
    <row r="38" s="20" customFormat="true" ht="12.75" hidden="false" customHeight="true" outlineLevel="0" collapsed="false">
      <c r="A38" s="210" t="n">
        <v>5</v>
      </c>
      <c r="B38" s="211" t="n">
        <f aca="false">((0.0000000338)*(((A38*A38)*B12)*((A38*A38)*B12)))*1000</f>
        <v>0.618719368298103</v>
      </c>
      <c r="C38" s="211" t="n">
        <f aca="false">((0.000996)*SQRT(A38)*(B11/B5))*1000/(Main!C18/100)</f>
        <v>74.6403515912705</v>
      </c>
      <c r="D38" s="211" t="n">
        <f aca="false">C38+B6</f>
        <v>154.640351591271</v>
      </c>
      <c r="E38" s="211" t="n">
        <f aca="false">10*LOG(B38/(B38+D38))</f>
        <v>-23.9956327177851</v>
      </c>
      <c r="F38" s="211" t="n">
        <f aca="false">2*B3*A38*B17*1000000</f>
        <v>66.6286927279531</v>
      </c>
      <c r="G38" s="211" t="n">
        <f aca="false">(1/(2*B3*A38*F38*1000000))*1000000000000</f>
        <v>477.736952582064</v>
      </c>
      <c r="H38" s="211" t="n">
        <f aca="false">F38/((2*(B38+D38))/1000)</f>
        <v>214.572624698057</v>
      </c>
      <c r="I38" s="211" t="n">
        <f aca="false">(A38/H38)*1000</f>
        <v>23.3021337509196</v>
      </c>
      <c r="J38" s="211" t="n">
        <f aca="false">SQRT(B7*F38*H38)</f>
        <v>1195.68781372218</v>
      </c>
      <c r="K38" s="211" t="n">
        <f aca="false">1000*(J38/75000)</f>
        <v>15.9425041829624</v>
      </c>
      <c r="L38" s="211" t="n">
        <f aca="false">299.793/A38</f>
        <v>59.9586</v>
      </c>
      <c r="M38" s="211" t="n">
        <f aca="false">(D11/L38)*100</f>
        <v>4.19220642599593</v>
      </c>
      <c r="N38" s="212" t="n">
        <f aca="false">F38/((2*(B38))/1000)</f>
        <v>53844.033451892</v>
      </c>
      <c r="O38" s="213" t="n">
        <f aca="false">H38/N38</f>
        <v>0.00398507710032108</v>
      </c>
      <c r="P38" s="200" t="n">
        <f aca="false">-20*LOG10(2*$F$4/L38)</f>
        <v>21.5305468998419</v>
      </c>
    </row>
    <row r="39" customFormat="false" ht="12.75" hidden="false" customHeight="true" outlineLevel="0" collapsed="false">
      <c r="A39" s="200" t="n">
        <v>6</v>
      </c>
      <c r="B39" s="201" t="n">
        <f aca="false">((0.0000000338)*(((A39*A39)*B12)*((A39*A39)*B12)))*1000</f>
        <v>1.28297648210295</v>
      </c>
      <c r="C39" s="201" t="n">
        <f aca="false">((0.000996)*SQRT(A39)*(B11/B5))*1000/(Main!C18/100)</f>
        <v>81.764408533311</v>
      </c>
      <c r="D39" s="201" t="n">
        <f aca="false">C39+B6</f>
        <v>161.764408533311</v>
      </c>
      <c r="E39" s="202" t="n">
        <f aca="false">10*LOG(B39/(B39+D39))</f>
        <v>-21.0409514238888</v>
      </c>
      <c r="F39" s="201" t="n">
        <f aca="false">2*B3*A39*B17*1000000</f>
        <v>79.9544312735438</v>
      </c>
      <c r="G39" s="202" t="n">
        <f aca="false">(1/(2*B3*A39*F39*1000000))*1000000000000</f>
        <v>331.761772626433</v>
      </c>
      <c r="H39" s="201" t="n">
        <f aca="false">F39/((2*(B39+D39))/1000)</f>
        <v>245.187714191139</v>
      </c>
      <c r="I39" s="202" t="n">
        <f aca="false">(A39/H39)*1000</f>
        <v>24.4710466827169</v>
      </c>
      <c r="J39" s="201" t="n">
        <f aca="false">SQRT(B7*F39*H39)</f>
        <v>1400.1372876762</v>
      </c>
      <c r="K39" s="201" t="n">
        <f aca="false">1000*(J39/75000)</f>
        <v>18.668497169016</v>
      </c>
      <c r="L39" s="201" t="n">
        <f aca="false">299.793/A39</f>
        <v>49.9655</v>
      </c>
      <c r="M39" s="201" t="n">
        <f aca="false">(D11/L39)*100</f>
        <v>5.03064771119511</v>
      </c>
      <c r="N39" s="203" t="n">
        <f aca="false">F39/((2*(B39))/1000)</f>
        <v>31159.741580956</v>
      </c>
      <c r="O39" s="204" t="n">
        <f aca="false">H39/N39</f>
        <v>0.00786873387746549</v>
      </c>
      <c r="P39" s="200" t="n">
        <f aca="false">-20*LOG10(2*$F$4/L39)</f>
        <v>19.9469219788894</v>
      </c>
    </row>
    <row r="40" s="209" customFormat="true" ht="12.75" hidden="false" customHeight="true" outlineLevel="0" collapsed="false">
      <c r="A40" s="205" t="n">
        <v>7</v>
      </c>
      <c r="B40" s="206" t="n">
        <f aca="false">((0.0000000338)*(((A40*A40)*B12)*((A40*A40)*B12)))*1000</f>
        <v>2.37687232525399</v>
      </c>
      <c r="C40" s="206" t="n">
        <f aca="false">((0.000996)*SQRT(A40)*(B11/B5))*1000/(Main!C18/100)</f>
        <v>88.3156550105126</v>
      </c>
      <c r="D40" s="206" t="n">
        <f aca="false">C40+B6</f>
        <v>168.315655010513</v>
      </c>
      <c r="E40" s="202" t="n">
        <f aca="false">10*LOG(B40/(B40+D40))</f>
        <v>-18.5620865473137</v>
      </c>
      <c r="F40" s="206" t="n">
        <f aca="false">2*B3*A40*B17*1000000</f>
        <v>93.2801698191344</v>
      </c>
      <c r="G40" s="206" t="n">
        <f aca="false">(1/(2*B3*A40*F40*1000000))*1000000000000</f>
        <v>243.743343154114</v>
      </c>
      <c r="H40" s="206" t="n">
        <f aca="false">F40/((2*(B40+D40))/1000)</f>
        <v>273.240344129548</v>
      </c>
      <c r="I40" s="206" t="n">
        <f aca="false">(A40/H40)*1000</f>
        <v>25.6184716144303</v>
      </c>
      <c r="J40" s="206" t="n">
        <f aca="false">SQRT(B7*F40*H40)</f>
        <v>1596.49321019048</v>
      </c>
      <c r="K40" s="206" t="n">
        <f aca="false">1000*(J40/75000)</f>
        <v>21.286576135873</v>
      </c>
      <c r="L40" s="206" t="n">
        <f aca="false">299.793/A40</f>
        <v>42.8275714285714</v>
      </c>
      <c r="M40" s="206" t="n">
        <f aca="false">(D11/L40)*100</f>
        <v>5.8690889963943</v>
      </c>
      <c r="N40" s="207" t="n">
        <f aca="false">F40/((2*(B40))/1000)</f>
        <v>19622.4611705146</v>
      </c>
      <c r="O40" s="208" t="n">
        <f aca="false">H40/N40</f>
        <v>0.0139248762810717</v>
      </c>
      <c r="P40" s="200" t="n">
        <f aca="false">-20*LOG10(2*$F$4/L40)</f>
        <v>18.6079861862771</v>
      </c>
    </row>
    <row r="41" customFormat="false" ht="12.75" hidden="false" customHeight="true" outlineLevel="0" collapsed="false">
      <c r="A41" s="200" t="n">
        <v>8</v>
      </c>
      <c r="B41" s="201" t="n">
        <f aca="false">((0.0000000338)*(((A41*A41)*B12)*((A41*A41)*B12)))*1000</f>
        <v>4.05483925207845</v>
      </c>
      <c r="C41" s="201" t="n">
        <f aca="false">((0.000996)*SQRT(A41)*(B11/B5))*1000/(Main!C18/100)</f>
        <v>94.4134065536752</v>
      </c>
      <c r="D41" s="201" t="n">
        <f aca="false">C41+B6</f>
        <v>174.413406553675</v>
      </c>
      <c r="E41" s="202" t="n">
        <f aca="false">10*LOG(B41/(B41+D41))</f>
        <v>-16.4358731296681</v>
      </c>
      <c r="F41" s="201" t="n">
        <f aca="false">2*B3*A41*B17*1000000</f>
        <v>106.605908364725</v>
      </c>
      <c r="G41" s="202" t="n">
        <f aca="false">(1/(2*B3*A41*F41*1000000))*1000000000000</f>
        <v>186.615997102369</v>
      </c>
      <c r="H41" s="201" t="n">
        <f aca="false">F41/((2*(B41+D41))/1000)</f>
        <v>298.669121454681</v>
      </c>
      <c r="I41" s="202" t="n">
        <f aca="false">(A41/H41)*1000</f>
        <v>26.7854941315515</v>
      </c>
      <c r="J41" s="201" t="n">
        <f aca="false">SQRT(B7*F41*H41)</f>
        <v>1784.37364341582</v>
      </c>
      <c r="K41" s="201" t="n">
        <f aca="false">1000*(J41/75000)</f>
        <v>23.7916485788777</v>
      </c>
      <c r="L41" s="201" t="n">
        <f aca="false">299.793/A41</f>
        <v>37.474125</v>
      </c>
      <c r="M41" s="201" t="n">
        <f aca="false">(D11/L41)*100</f>
        <v>6.70753028159348</v>
      </c>
      <c r="N41" s="203" t="n">
        <f aca="false">F41/((2*(B41))/1000)</f>
        <v>13145.5159794658</v>
      </c>
      <c r="O41" s="204" t="n">
        <f aca="false">H41/N41</f>
        <v>0.0227202280930792</v>
      </c>
      <c r="P41" s="200" t="n">
        <f aca="false">-20*LOG10(2*$F$4/L41)</f>
        <v>17.4481472467234</v>
      </c>
    </row>
    <row r="42" customFormat="false" ht="12.75" hidden="false" customHeight="true" outlineLevel="0" collapsed="false">
      <c r="A42" s="200" t="n">
        <v>9</v>
      </c>
      <c r="B42" s="201" t="n">
        <f aca="false">((0.0000000338)*(((A42*A42)*B12)*((A42*A42)*B12)))*1000</f>
        <v>6.49506844064617</v>
      </c>
      <c r="C42" s="201" t="n">
        <f aca="false">((0.000996)*SQRT(A42)*(B11/B5))*1000/(Main!C18/100)</f>
        <v>100.140540013539</v>
      </c>
      <c r="D42" s="201" t="n">
        <f aca="false">C42+B6</f>
        <v>180.140540013539</v>
      </c>
      <c r="E42" s="202" t="n">
        <f aca="false">10*LOG(B42/(B42+D42))</f>
        <v>-14.5841077519841</v>
      </c>
      <c r="F42" s="201" t="n">
        <f aca="false">2*B3*A42*B17*1000000</f>
        <v>119.931646910316</v>
      </c>
      <c r="G42" s="202" t="n">
        <f aca="false">(1/(2*B3*A42*F42*1000000))*1000000000000</f>
        <v>147.449676722859</v>
      </c>
      <c r="H42" s="201" t="n">
        <f aca="false">F42/((2*(B42+D42))/1000)</f>
        <v>321.298941567616</v>
      </c>
      <c r="I42" s="202" t="n">
        <f aca="false">(A42/H42)*1000</f>
        <v>28.0112967571229</v>
      </c>
      <c r="J42" s="201" t="n">
        <f aca="false">SQRT(B7*F42*H42)</f>
        <v>1963.00563454987</v>
      </c>
      <c r="K42" s="201" t="n">
        <f aca="false">1000*(J42/75000)</f>
        <v>26.173408460665</v>
      </c>
      <c r="L42" s="201" t="n">
        <f aca="false">299.793/A42</f>
        <v>33.3103333333333</v>
      </c>
      <c r="M42" s="201" t="n">
        <f aca="false">(D11/L42)*100</f>
        <v>7.54597156679267</v>
      </c>
      <c r="N42" s="203" t="n">
        <f aca="false">F42/((2*(B42))/1000)</f>
        <v>9232.51602398697</v>
      </c>
      <c r="O42" s="204" t="n">
        <f aca="false">H42/N42</f>
        <v>0.0348007997747147</v>
      </c>
      <c r="P42" s="200" t="n">
        <f aca="false">-20*LOG10(2*$F$4/L42)</f>
        <v>16.4250967977758</v>
      </c>
    </row>
    <row r="43" s="209" customFormat="true" ht="12.75" hidden="false" customHeight="true" outlineLevel="0" collapsed="false">
      <c r="A43" s="205" t="n">
        <v>10</v>
      </c>
      <c r="B43" s="206" t="n">
        <f aca="false">((0.0000000338)*(((A43*A43)*B12)*((A43*A43)*B12)))*1000</f>
        <v>9.89950989276965</v>
      </c>
      <c r="C43" s="206" t="n">
        <f aca="false">((0.000996)*SQRT(A43)*(B11/B5))*1000/(Main!C18/100)</f>
        <v>105.557397520671</v>
      </c>
      <c r="D43" s="206" t="n">
        <f aca="false">C43+B6</f>
        <v>185.557397520671</v>
      </c>
      <c r="E43" s="206" t="n">
        <f aca="false">10*LOG(B43/(B43+D43))</f>
        <v>-12.9543732895375</v>
      </c>
      <c r="F43" s="206" t="n">
        <f aca="false">2*B3*A43*B17*1000000</f>
        <v>133.257385455906</v>
      </c>
      <c r="G43" s="206" t="n">
        <f aca="false">(1/(2*B3*A43*F43*1000000))*1000000000000</f>
        <v>119.434238145516</v>
      </c>
      <c r="H43" s="206" t="n">
        <f aca="false">F43/((2*(B43+D43))/1000)</f>
        <v>340.886866622813</v>
      </c>
      <c r="I43" s="206" t="n">
        <f aca="false">(A43/H43)*1000</f>
        <v>29.335245734371</v>
      </c>
      <c r="J43" s="206" t="n">
        <f aca="false">SQRT(B7*F43*H43)</f>
        <v>2131.33039631148</v>
      </c>
      <c r="K43" s="206" t="n">
        <f aca="false">1000*(J43/75000)</f>
        <v>28.4177386174863</v>
      </c>
      <c r="L43" s="206" t="n">
        <f aca="false">299.793/A43</f>
        <v>29.9793</v>
      </c>
      <c r="M43" s="206" t="n">
        <f aca="false">(D11/L43)*100</f>
        <v>8.38441285199185</v>
      </c>
      <c r="N43" s="207" t="n">
        <f aca="false">F43/((2*(B43))/1000)</f>
        <v>6730.5041814865</v>
      </c>
      <c r="O43" s="208" t="n">
        <f aca="false">H43/N43</f>
        <v>0.0506480432120503</v>
      </c>
      <c r="P43" s="200" t="n">
        <f aca="false">-20*LOG10(2*$F$4/L43)</f>
        <v>15.5099469865623</v>
      </c>
    </row>
    <row r="44" customFormat="false" ht="12.75" hidden="false" customHeight="true" outlineLevel="0" collapsed="false">
      <c r="A44" s="200" t="n">
        <v>11</v>
      </c>
      <c r="B44" s="201" t="n">
        <f aca="false">((0.0000000338)*(((A44*A44)*B12)*((A44*A44)*B12)))*1000</f>
        <v>14.493872434004</v>
      </c>
      <c r="C44" s="201" t="n">
        <f aca="false">((0.000996)*SQRT(A44)*(B11/B5))*1000/(Main!C18/100)</f>
        <v>110.709532509494</v>
      </c>
      <c r="D44" s="201" t="n">
        <f aca="false">C44+B6</f>
        <v>190.709532509494</v>
      </c>
      <c r="E44" s="202" t="n">
        <f aca="false">10*LOG(B44/(B44+D44))</f>
        <v>-11.510001281443</v>
      </c>
      <c r="F44" s="201" t="n">
        <f aca="false">2*B3*A44*B17*1000000</f>
        <v>146.583124001497</v>
      </c>
      <c r="G44" s="202" t="n">
        <f aca="false">(1/(2*B3*A44*F44*1000000))*1000000000000</f>
        <v>98.7059819384431</v>
      </c>
      <c r="H44" s="201" t="n">
        <f aca="false">F44/((2*(B44+D44))/1000)</f>
        <v>357.165428229269</v>
      </c>
      <c r="I44" s="202" t="n">
        <f aca="false">(A44/H44)*1000</f>
        <v>30.7980535925189</v>
      </c>
      <c r="J44" s="201" t="n">
        <f aca="false">SQRT(B7*F44*H44)</f>
        <v>2288.10891906785</v>
      </c>
      <c r="K44" s="201" t="n">
        <f aca="false">1000*(J44/75000)</f>
        <v>30.5081189209047</v>
      </c>
      <c r="L44" s="201" t="n">
        <f aca="false">299.793/A44</f>
        <v>27.2539090909091</v>
      </c>
      <c r="M44" s="201" t="n">
        <f aca="false">(D11/L44)*100</f>
        <v>9.22285413719104</v>
      </c>
      <c r="N44" s="203" t="n">
        <f aca="false">F44/((2*(B44))/1000)</f>
        <v>5056.72740908077</v>
      </c>
      <c r="O44" s="204" t="n">
        <f aca="false">H44/N44</f>
        <v>0.0706317345854709</v>
      </c>
      <c r="P44" s="200" t="n">
        <f aca="false">-20*LOG10(2*$F$4/L44)</f>
        <v>14.6820932833978</v>
      </c>
    </row>
    <row r="45" customFormat="false" ht="12.75" hidden="false" customHeight="true" outlineLevel="0" collapsed="false">
      <c r="A45" s="200" t="n">
        <v>12</v>
      </c>
      <c r="B45" s="201" t="n">
        <f aca="false">((0.0000000338)*(((A45*A45)*B12)*((A45*A45)*B12)))*1000</f>
        <v>20.5276237136471</v>
      </c>
      <c r="C45" s="201" t="n">
        <f aca="false">((0.000996)*SQRT(A45)*(B11/B5))*1000/(Main!C18/100)</f>
        <v>115.632335467223</v>
      </c>
      <c r="D45" s="201" t="n">
        <f aca="false">C45+B6</f>
        <v>195.632335467223</v>
      </c>
      <c r="E45" s="202" t="n">
        <f aca="false">10*LOG(B45/(B45+D45))</f>
        <v>-10.2243657149843</v>
      </c>
      <c r="F45" s="201" t="n">
        <f aca="false">2*B3*A45*B17*1000000</f>
        <v>159.908862547088</v>
      </c>
      <c r="G45" s="202" t="n">
        <f aca="false">(1/(2*B3*A45*F45*1000000))*1000000000000</f>
        <v>82.9404431566084</v>
      </c>
      <c r="H45" s="201" t="n">
        <f aca="false">F45/((2*(B45+D45))/1000)</f>
        <v>369.885484696278</v>
      </c>
      <c r="I45" s="202" t="n">
        <f aca="false">(A45/H45)*1000</f>
        <v>32.4424734045822</v>
      </c>
      <c r="J45" s="201" t="n">
        <f aca="false">SQRT(B7*F45*H45)</f>
        <v>2432.03550817952</v>
      </c>
      <c r="K45" s="201" t="n">
        <f aca="false">1000*(J45/75000)</f>
        <v>32.4271401090602</v>
      </c>
      <c r="L45" s="201" t="n">
        <f aca="false">299.793/A45</f>
        <v>24.98275</v>
      </c>
      <c r="M45" s="201" t="n">
        <f aca="false">(D11/L45)*100</f>
        <v>10.0612954223902</v>
      </c>
      <c r="N45" s="203" t="n">
        <f aca="false">F45/((2*(B45))/1000)</f>
        <v>3894.9676976195</v>
      </c>
      <c r="O45" s="204" t="n">
        <f aca="false">H45/N45</f>
        <v>0.0949649684957187</v>
      </c>
      <c r="P45" s="200" t="n">
        <f aca="false">-20*LOG10(2*$F$4/L45)</f>
        <v>13.9263220656098</v>
      </c>
    </row>
    <row r="46" customFormat="false" ht="12.75" hidden="false" customHeight="true" outlineLevel="0" collapsed="false">
      <c r="A46" s="200" t="n">
        <v>13</v>
      </c>
      <c r="B46" s="201" t="n">
        <f aca="false">((0.0000000338)*(((A46*A46)*B12)*((A46*A46)*B12)))*1000</f>
        <v>28.2739902047394</v>
      </c>
      <c r="C46" s="201" t="n">
        <f aca="false">((0.000996)*SQRT(A46)*(B11/B5))*1000/(Main!C18/100)</f>
        <v>120.35395059049</v>
      </c>
      <c r="D46" s="201" t="n">
        <f aca="false">C46+B6</f>
        <v>200.35395059049</v>
      </c>
      <c r="E46" s="202" t="n">
        <f aca="false">10*LOG(B46/(B46+D46))</f>
        <v>-9.07742201557745</v>
      </c>
      <c r="F46" s="201" t="n">
        <f aca="false">2*B3*A46*B17*1000000</f>
        <v>173.234601092678</v>
      </c>
      <c r="G46" s="202" t="n">
        <f aca="false">(1/(2*B3*A46*F46*1000000))*1000000000000</f>
        <v>70.6711468316663</v>
      </c>
      <c r="H46" s="201" t="n">
        <f aca="false">F46/((2*(B46+D46))/1000)</f>
        <v>378.857020909434</v>
      </c>
      <c r="I46" s="202" t="n">
        <f aca="false">(A46/H46)*1000</f>
        <v>34.3137365352077</v>
      </c>
      <c r="J46" s="201" t="n">
        <f aca="false">SQRT(B7*F46*H46)</f>
        <v>2561.85762462332</v>
      </c>
      <c r="K46" s="201" t="n">
        <f aca="false">1000*(J46/75000)</f>
        <v>34.1581016616442</v>
      </c>
      <c r="L46" s="201" t="n">
        <f aca="false">299.793/A46</f>
        <v>23.061</v>
      </c>
      <c r="M46" s="201" t="n">
        <f aca="false">(D11/L46)*100</f>
        <v>10.8997367075894</v>
      </c>
      <c r="N46" s="203" t="n">
        <f aca="false">F46/((2*(B46))/1000)</f>
        <v>3063.49757919276</v>
      </c>
      <c r="O46" s="204" t="n">
        <f aca="false">H46/N46</f>
        <v>0.123668131315861</v>
      </c>
      <c r="P46" s="200" t="n">
        <f aca="false">-20*LOG10(2*$F$4/L46)</f>
        <v>13.2310799404255</v>
      </c>
    </row>
    <row r="47" s="209" customFormat="true" ht="12.75" hidden="false" customHeight="true" outlineLevel="0" collapsed="false">
      <c r="A47" s="205" t="n">
        <v>14</v>
      </c>
      <c r="B47" s="206" t="n">
        <f aca="false">((0.0000000338)*(((A47*A47)*B12)*((A47*A47)*B12)))*1000</f>
        <v>38.0299572040639</v>
      </c>
      <c r="C47" s="206" t="n">
        <f aca="false">((0.000996)*SQRT(A47)*(B11/B5))*1000/(Main!C18/100)</f>
        <v>124.89719708573</v>
      </c>
      <c r="D47" s="206" t="n">
        <f aca="false">C47+B6</f>
        <v>204.89719708573</v>
      </c>
      <c r="E47" s="206" t="n">
        <f aca="false">10*LOG(B47/(B47+D47))</f>
        <v>-8.05350226072644</v>
      </c>
      <c r="F47" s="206" t="n">
        <f aca="false">2*B3*A47*B17*1000000</f>
        <v>186.560339638269</v>
      </c>
      <c r="G47" s="206" t="n">
        <f aca="false">(1/(2*B3*A47*F47*1000000))*1000000000000</f>
        <v>60.9358357885286</v>
      </c>
      <c r="H47" s="206" t="n">
        <f aca="false">F47/((2*(B47+D47))/1000)</f>
        <v>383.984121049959</v>
      </c>
      <c r="I47" s="206" t="n">
        <f aca="false">(A47/H47)*1000</f>
        <v>36.4598409999837</v>
      </c>
      <c r="J47" s="206" t="n">
        <f aca="false">SQRT(B7*F47*H47)</f>
        <v>2676.49412550789</v>
      </c>
      <c r="K47" s="206" t="n">
        <f aca="false">1000*(J47/75000)</f>
        <v>35.6865883401052</v>
      </c>
      <c r="L47" s="206" t="n">
        <f aca="false">299.793/A47</f>
        <v>21.4137857142857</v>
      </c>
      <c r="M47" s="206" t="n">
        <f aca="false">(D11/L47)*100</f>
        <v>11.7381779927886</v>
      </c>
      <c r="N47" s="207" t="n">
        <f aca="false">F47/((2*(B47))/1000)</f>
        <v>2452.80764631432</v>
      </c>
      <c r="O47" s="208" t="n">
        <f aca="false">H47/N47</f>
        <v>0.156548811166235</v>
      </c>
      <c r="P47" s="200" t="n">
        <f aca="false">-20*LOG10(2*$F$4/L47)</f>
        <v>12.5873862729975</v>
      </c>
    </row>
    <row r="48" customFormat="false" ht="12.75" hidden="false" customHeight="true" outlineLevel="0" collapsed="false">
      <c r="A48" s="200" t="n">
        <v>15</v>
      </c>
      <c r="B48" s="201" t="n">
        <f aca="false">((0.0000000338)*(((A48*A48)*B12)*((A48*A48)*B12)))*1000</f>
        <v>50.1162688321463</v>
      </c>
      <c r="C48" s="201" t="n">
        <f aca="false">((0.000996)*SQRT(A48)*(B11/B5))*1000/(Main!C18/100)</f>
        <v>129.280881250885</v>
      </c>
      <c r="D48" s="201" t="n">
        <f aca="false">C48+B6</f>
        <v>209.280881250885</v>
      </c>
      <c r="E48" s="202" t="n">
        <f aca="false">10*LOG(B48/(B48+D48))</f>
        <v>-7.13986470113309</v>
      </c>
      <c r="F48" s="201" t="n">
        <f aca="false">2*B3*A48*B17*1000000</f>
        <v>199.886078183859</v>
      </c>
      <c r="G48" s="202" t="n">
        <f aca="false">(1/(2*B3*A48*F48*1000000))*1000000000000</f>
        <v>53.0818836202294</v>
      </c>
      <c r="H48" s="201" t="n">
        <f aca="false">F48/((2*(B48+D48))/1000)</f>
        <v>385.289657422753</v>
      </c>
      <c r="I48" s="202" t="n">
        <f aca="false">(A48/H48)*1000</f>
        <v>38.9317483898652</v>
      </c>
      <c r="J48" s="201" t="n">
        <f aca="false">SQRT(B7*F48*H48)</f>
        <v>2775.1403313533</v>
      </c>
      <c r="K48" s="201" t="n">
        <f aca="false">1000*(J48/75000)</f>
        <v>37.0018710847106</v>
      </c>
      <c r="L48" s="201" t="n">
        <f aca="false">299.793/A48</f>
        <v>19.9862</v>
      </c>
      <c r="M48" s="201" t="n">
        <f aca="false">(D11/L48)*100</f>
        <v>12.5766192779878</v>
      </c>
      <c r="N48" s="203" t="n">
        <f aca="false">F48/((2*(B48))/1000)</f>
        <v>1994.22346118119</v>
      </c>
      <c r="O48" s="204" t="n">
        <f aca="false">H48/N48</f>
        <v>0.193202850594559</v>
      </c>
      <c r="P48" s="200" t="n">
        <f aca="false">-20*LOG10(2*$F$4/L48)</f>
        <v>11.9881218054486</v>
      </c>
    </row>
    <row r="49" customFormat="false" ht="12.75" hidden="false" customHeight="true" outlineLevel="0" collapsed="false">
      <c r="A49" s="200" t="n">
        <v>16</v>
      </c>
      <c r="B49" s="201" t="n">
        <f aca="false">((0.0000000338)*(((A49*A49)*B12)*((A49*A49)*B12)))*1000</f>
        <v>64.8774280332552</v>
      </c>
      <c r="C49" s="201" t="n">
        <f aca="false">((0.000996)*SQRT(A49)*(B11/B5))*1000/(Main!C18/100)</f>
        <v>133.520720018052</v>
      </c>
      <c r="D49" s="201" t="n">
        <f aca="false">C49+B6</f>
        <v>213.520720018052</v>
      </c>
      <c r="E49" s="202" t="n">
        <f aca="false">10*LOG(B49/(B49+D49))</f>
        <v>-6.32572717350671</v>
      </c>
      <c r="F49" s="201" t="n">
        <f aca="false">2*B3*A49*B17*1000000</f>
        <v>213.21181672945</v>
      </c>
      <c r="G49" s="202" t="n">
        <f aca="false">(1/(2*B3*A49*F49*1000000))*1000000000000</f>
        <v>46.6539992755922</v>
      </c>
      <c r="H49" s="201" t="n">
        <f aca="false">F49/((2*(B49+D49))/1000)</f>
        <v>382.926068693093</v>
      </c>
      <c r="I49" s="202" t="n">
        <f aca="false">(A49/H49)*1000</f>
        <v>41.7835224815254</v>
      </c>
      <c r="J49" s="201" t="n">
        <f aca="false">SQRT(B7*F49*H49)</f>
        <v>2857.34776985793</v>
      </c>
      <c r="K49" s="201" t="n">
        <f aca="false">1000*(J49/75000)</f>
        <v>38.0979702647723</v>
      </c>
      <c r="L49" s="201" t="n">
        <f aca="false">299.793/A49</f>
        <v>18.7370625</v>
      </c>
      <c r="M49" s="201" t="n">
        <f aca="false">(D11/L49)*100</f>
        <v>13.415060563187</v>
      </c>
      <c r="N49" s="203" t="n">
        <f aca="false">F49/((2*(B49))/1000)</f>
        <v>1643.18949743323</v>
      </c>
      <c r="O49" s="204" t="n">
        <f aca="false">H49/N49</f>
        <v>0.233038288822591</v>
      </c>
      <c r="P49" s="200" t="n">
        <f aca="false">-20*LOG10(2*$F$4/L49)</f>
        <v>11.4275473334438</v>
      </c>
    </row>
    <row r="50" customFormat="false" ht="13.5" hidden="false" customHeight="true" outlineLevel="0" collapsed="false">
      <c r="A50" s="200" t="n">
        <v>17</v>
      </c>
      <c r="B50" s="201" t="n">
        <f aca="false">((0.0000000338)*(((A50*A50)*B12)*((A50*A50)*B12)))*1000</f>
        <v>82.6816965754014</v>
      </c>
      <c r="C50" s="201" t="n">
        <f aca="false">((0.000996)*SQRT(A50)*(B11/B5))*1000/(Main!C18/100)</f>
        <v>137.630007960738</v>
      </c>
      <c r="D50" s="201" t="n">
        <f aca="false">C50+B6</f>
        <v>217.630007960738</v>
      </c>
      <c r="E50" s="202" t="n">
        <f aca="false">10*LOG(B50/(B50+D50))</f>
        <v>-5.60162879502521</v>
      </c>
      <c r="F50" s="201" t="n">
        <f aca="false">2*B3*A50*B17*1000000</f>
        <v>226.537555275041</v>
      </c>
      <c r="G50" s="202" t="n">
        <f aca="false">(1/(2*B3*A50*F50*1000000))*1000000000000</f>
        <v>41.3267260019087</v>
      </c>
      <c r="H50" s="201" t="n">
        <f aca="false">F50/((2*(B50+D50))/1000)</f>
        <v>377.170706058477</v>
      </c>
      <c r="I50" s="202" t="n">
        <f aca="false">(A50/H50)*1000</f>
        <v>45.0724293454655</v>
      </c>
      <c r="J50" s="201" t="n">
        <f aca="false">SQRT(B7*F50*H50)</f>
        <v>2923.06910065171</v>
      </c>
      <c r="K50" s="201" t="n">
        <f aca="false">1000*(J50/75000)</f>
        <v>38.9742546753562</v>
      </c>
      <c r="L50" s="201" t="n">
        <f aca="false">299.793/A50</f>
        <v>17.6348823529412</v>
      </c>
      <c r="M50" s="201" t="n">
        <f aca="false">(D11/L50)*100</f>
        <v>14.2535018483862</v>
      </c>
      <c r="N50" s="203" t="n">
        <f aca="false">F50/((2*(B50))/1000)</f>
        <v>1369.93775320303</v>
      </c>
      <c r="O50" s="204" t="n">
        <f aca="false">H50/N50</f>
        <v>0.27531959403018</v>
      </c>
      <c r="P50" s="200" t="n">
        <f aca="false">-20*LOG10(2*$F$4/L50)</f>
        <v>10.9009685589968</v>
      </c>
    </row>
    <row r="51" s="209" customFormat="true" ht="12.75" hidden="false" customHeight="true" outlineLevel="0" collapsed="false">
      <c r="A51" s="205" t="n">
        <v>18</v>
      </c>
      <c r="B51" s="206" t="n">
        <f aca="false">((0.0000000338)*(((A51*A51)*B12)*((A51*A51)*B12)))*1000</f>
        <v>103.921095050339</v>
      </c>
      <c r="C51" s="206" t="n">
        <f aca="false">((0.000996)*SQRT(A51)*(B11/B5))*1000/(Main!C18/100)</f>
        <v>141.620109830513</v>
      </c>
      <c r="D51" s="206" t="n">
        <f aca="false">C51+B6</f>
        <v>221.620109830513</v>
      </c>
      <c r="E51" s="206" t="n">
        <f aca="false">10*LOG(B51/(B51+D51))</f>
        <v>-4.95902252153068</v>
      </c>
      <c r="F51" s="206" t="n">
        <f aca="false">2*B3*A51*B17*1000000</f>
        <v>239.863293820631</v>
      </c>
      <c r="G51" s="206" t="n">
        <f aca="false">(1/(2*B3*A51*F51*1000000))*1000000000000</f>
        <v>36.8624191807148</v>
      </c>
      <c r="H51" s="206" t="n">
        <f aca="false">F51/((2*(B51+D51))/1000)</f>
        <v>368.406963887139</v>
      </c>
      <c r="I51" s="206" t="n">
        <f aca="false">(A51/H51)*1000</f>
        <v>48.8590112686205</v>
      </c>
      <c r="J51" s="206" t="n">
        <f aca="false">SQRT(B7*F51*H51)</f>
        <v>2972.6639201973</v>
      </c>
      <c r="K51" s="206" t="n">
        <f aca="false">1000*(J51/75000)</f>
        <v>39.6355189359639</v>
      </c>
      <c r="L51" s="206" t="n">
        <f aca="false">299.793/A51</f>
        <v>16.6551666666667</v>
      </c>
      <c r="M51" s="206" t="n">
        <f aca="false">(D11/L51)*100</f>
        <v>15.0919431335853</v>
      </c>
      <c r="N51" s="207" t="n">
        <f aca="false">F51/((2*(B51))/1000)</f>
        <v>1154.06450299837</v>
      </c>
      <c r="O51" s="208" t="n">
        <f aca="false">H51/N51</f>
        <v>0.319225626409947</v>
      </c>
      <c r="P51" s="200" t="n">
        <f aca="false">-20*LOG10(2*$F$4/L51)</f>
        <v>10.4044968844961</v>
      </c>
    </row>
    <row r="52" customFormat="false" ht="12.75" hidden="false" customHeight="true" outlineLevel="0" collapsed="false">
      <c r="A52" s="200" t="n">
        <v>19</v>
      </c>
      <c r="B52" s="201" t="n">
        <f aca="false">((0.0000000338)*(((A52*A52)*B12)*((A52*A52)*B12)))*1000</f>
        <v>129.011402873563</v>
      </c>
      <c r="C52" s="201" t="n">
        <f aca="false">((0.000996)*SQRT(A52)*(B11/B5))*1000/(Main!C18/100)</f>
        <v>145.50083135687</v>
      </c>
      <c r="D52" s="201" t="n">
        <f aca="false">C52+B6</f>
        <v>225.50083135687</v>
      </c>
      <c r="E52" s="202" t="n">
        <f aca="false">10*LOG(B52/(B52+D52))</f>
        <v>-4.39003129507263</v>
      </c>
      <c r="F52" s="201" t="n">
        <f aca="false">2*B3*A52*B17*1000000</f>
        <v>253.189032366222</v>
      </c>
      <c r="G52" s="202" t="n">
        <f aca="false">(1/(2*B3*A52*F52*1000000))*1000000000000</f>
        <v>33.0842764946028</v>
      </c>
      <c r="H52" s="201" t="n">
        <f aca="false">F52/((2*(B52+D52))/1000)</f>
        <v>357.094915096285</v>
      </c>
      <c r="I52" s="202" t="n">
        <f aca="false">(A52/H52)*1000</f>
        <v>53.2071424060377</v>
      </c>
      <c r="J52" s="201" t="n">
        <f aca="false">SQRT(B7*F52*H52)</f>
        <v>3006.86740672293</v>
      </c>
      <c r="K52" s="201" t="n">
        <f aca="false">1000*(J52/75000)</f>
        <v>40.0915654229724</v>
      </c>
      <c r="L52" s="201" t="n">
        <f aca="false">299.793/A52</f>
        <v>15.7785789473684</v>
      </c>
      <c r="M52" s="201" t="n">
        <f aca="false">(D11/L52)*100</f>
        <v>15.9303844187845</v>
      </c>
      <c r="N52" s="203" t="n">
        <f aca="false">F52/((2*(B52))/1000)</f>
        <v>981.266100231303</v>
      </c>
      <c r="O52" s="204" t="n">
        <f aca="false">H52/N52</f>
        <v>0.363912413780637</v>
      </c>
      <c r="P52" s="200" t="n">
        <f aca="false">-20*LOG10(2*$F$4/L52)</f>
        <v>9.93487496750568</v>
      </c>
    </row>
    <row r="53" customFormat="false" ht="12.75" hidden="false" customHeight="true" outlineLevel="0" collapsed="false">
      <c r="A53" s="200" t="n">
        <v>20</v>
      </c>
      <c r="B53" s="201" t="n">
        <f aca="false">((0.0000000338)*(((A53*A53)*B12)*((A53*A53)*B12)))*1000</f>
        <v>158.392158284314</v>
      </c>
      <c r="C53" s="201" t="n">
        <f aca="false">((0.000996)*SQRT(A53)*(B11/B5))*1000/(Main!C18/100)</f>
        <v>149.280703182541</v>
      </c>
      <c r="D53" s="201" t="n">
        <f aca="false">C53+B6</f>
        <v>229.280703182541</v>
      </c>
      <c r="E53" s="202" t="n">
        <f aca="false">10*LOG(B53/(B53+D53))</f>
        <v>-3.8873172321858</v>
      </c>
      <c r="F53" s="201" t="n">
        <f aca="false">2*B3*A53*B17*1000000</f>
        <v>266.514770911812</v>
      </c>
      <c r="G53" s="202" t="n">
        <f aca="false">(1/(2*B3*A53*F53*1000000))*1000000000000</f>
        <v>29.858559536379</v>
      </c>
      <c r="H53" s="201" t="n">
        <f aca="false">F53/((2*(B53+D53))/1000)</f>
        <v>343.736688071727</v>
      </c>
      <c r="I53" s="202" t="n">
        <f aca="false">(A53/H53)*1000</f>
        <v>58.1840713954474</v>
      </c>
      <c r="J53" s="201" t="n">
        <f aca="false">SQRT(B7*F53*H53)</f>
        <v>3026.72933503182</v>
      </c>
      <c r="K53" s="201" t="n">
        <f aca="false">1000*(J53/75000)</f>
        <v>40.3563911337576</v>
      </c>
      <c r="L53" s="201" t="n">
        <f aca="false">299.793/A53</f>
        <v>14.98965</v>
      </c>
      <c r="M53" s="201" t="n">
        <f aca="false">(D11/L53)*100</f>
        <v>16.7688257039837</v>
      </c>
      <c r="N53" s="203" t="n">
        <f aca="false">F53/((2*(B53))/1000)</f>
        <v>841.313022685813</v>
      </c>
      <c r="O53" s="204" t="n">
        <f aca="false">H53/N53</f>
        <v>0.408571695436711</v>
      </c>
      <c r="P53" s="200" t="n">
        <f aca="false">-20*LOG10(2*$F$4/L53)</f>
        <v>9.48934707328264</v>
      </c>
    </row>
    <row r="54" s="209" customFormat="true" ht="12.75" hidden="false" customHeight="true" outlineLevel="0" collapsed="false">
      <c r="A54" s="205" t="n">
        <v>21</v>
      </c>
      <c r="B54" s="206" t="n">
        <f aca="false">((0.0000000338)*(((A54*A54)*B12)*((A54*A54)*B12)))*1000</f>
        <v>192.526658345573</v>
      </c>
      <c r="C54" s="206" t="n">
        <f aca="false">((0.000996)*SQRT(A54)*(B11/B5))*1000/(Main!C18/100)</f>
        <v>152.967201581933</v>
      </c>
      <c r="D54" s="206" t="n">
        <f aca="false">C54+B6</f>
        <v>232.967201581933</v>
      </c>
      <c r="E54" s="206" t="n">
        <f aca="false">10*LOG(B54/(B54+D54))</f>
        <v>-3.44402424482722</v>
      </c>
      <c r="F54" s="206" t="n">
        <f aca="false">2*B3*A54*B17*1000000</f>
        <v>279.840509457403</v>
      </c>
      <c r="G54" s="206" t="n">
        <f aca="false">(1/(2*B3*A54*F54*1000000))*1000000000000</f>
        <v>27.0825936837905</v>
      </c>
      <c r="H54" s="206" t="n">
        <f aca="false">F54/((2*(B54+D54))/1000)</f>
        <v>328.842006680286</v>
      </c>
      <c r="I54" s="206" t="n">
        <f aca="false">(A54/H54)*1000</f>
        <v>63.8604544838978</v>
      </c>
      <c r="J54" s="206" t="n">
        <f aca="false">SQRT(B7*F54*H54)</f>
        <v>3033.53448439944</v>
      </c>
      <c r="K54" s="206" t="n">
        <f aca="false">1000*(J54/75000)</f>
        <v>40.4471264586593</v>
      </c>
      <c r="L54" s="206" t="n">
        <f aca="false">299.793/A54</f>
        <v>14.2758571428571</v>
      </c>
      <c r="M54" s="206" t="n">
        <f aca="false">(D11/L54)*100</f>
        <v>17.6072669891829</v>
      </c>
      <c r="N54" s="207" t="n">
        <f aca="false">F54/((2*(B54))/1000)</f>
        <v>726.75782113017</v>
      </c>
      <c r="O54" s="208" t="n">
        <f aca="false">H54/N54</f>
        <v>0.452478111854247</v>
      </c>
      <c r="P54" s="200" t="n">
        <f aca="false">-20*LOG10(2*$F$4/L54)</f>
        <v>9.06556109188388</v>
      </c>
    </row>
    <row r="55" customFormat="false" ht="12.75" hidden="false" customHeight="true" outlineLevel="0" collapsed="false">
      <c r="A55" s="200" t="n">
        <v>22</v>
      </c>
      <c r="B55" s="201" t="n">
        <f aca="false">((0.0000000338)*(((A55*A55)*B12)*((A55*A55)*B12)))*1000</f>
        <v>231.901958944065</v>
      </c>
      <c r="C55" s="201" t="n">
        <f aca="false">((0.000996)*SQRT(A55)*(B11/B5))*1000/(Main!C18/100)</f>
        <v>156.566922358911</v>
      </c>
      <c r="D55" s="201" t="n">
        <f aca="false">C55+B6</f>
        <v>236.566922358911</v>
      </c>
      <c r="E55" s="202" t="n">
        <f aca="false">10*LOG(B55/(B55+D55))</f>
        <v>-3.05376330300172</v>
      </c>
      <c r="F55" s="201" t="n">
        <f aca="false">2*B3*A55*B17*1000000</f>
        <v>293.166248002994</v>
      </c>
      <c r="G55" s="202" t="n">
        <f aca="false">(1/(2*B3*A55*F55*1000000))*1000000000000</f>
        <v>24.6764954846108</v>
      </c>
      <c r="H55" s="201" t="n">
        <f aca="false">F55/((2*(B55+D55))/1000)</f>
        <v>312.898315879163</v>
      </c>
      <c r="I55" s="202" t="n">
        <f aca="false">(A55/H55)*1000</f>
        <v>70.310381627289</v>
      </c>
      <c r="J55" s="201" t="n">
        <f aca="false">SQRT(B7*F55*H55)</f>
        <v>3028.716316738</v>
      </c>
      <c r="K55" s="201" t="n">
        <f aca="false">1000*(J55/75000)</f>
        <v>40.3828842231733</v>
      </c>
      <c r="L55" s="201" t="n">
        <f aca="false">299.793/A55</f>
        <v>13.6269545454545</v>
      </c>
      <c r="M55" s="201" t="n">
        <f aca="false">(D11/L55)*100</f>
        <v>18.4457082743821</v>
      </c>
      <c r="N55" s="203" t="n">
        <f aca="false">F55/((2*(B55))/1000)</f>
        <v>632.090926135096</v>
      </c>
      <c r="O55" s="204" t="n">
        <f aca="false">H55/N55</f>
        <v>0.495021053050662</v>
      </c>
      <c r="P55" s="200" t="n">
        <f aca="false">-20*LOG10(2*$F$4/L55)</f>
        <v>8.66149337011814</v>
      </c>
    </row>
    <row r="56" customFormat="false" ht="12.75" hidden="false" customHeight="true" outlineLevel="0" collapsed="false">
      <c r="A56" s="200" t="n">
        <v>23</v>
      </c>
      <c r="B56" s="201" t="n">
        <f aca="false">((0.0000000338)*(((A56*A56)*B12)*((A56*A56)*B12)))*1000</f>
        <v>277.028874790255</v>
      </c>
      <c r="C56" s="201" t="n">
        <f aca="false">((0.000996)*SQRT(A56)*(B11/B5))*1000/(Main!C18/100)</f>
        <v>160.085719519497</v>
      </c>
      <c r="D56" s="201" t="n">
        <f aca="false">C56+B6</f>
        <v>240.085719519497</v>
      </c>
      <c r="E56" s="202" t="n">
        <f aca="false">10*LOG(B56/(B56+D56))</f>
        <v>-2.71061756808986</v>
      </c>
      <c r="F56" s="201" t="n">
        <f aca="false">2*B3*A56*B17*1000000</f>
        <v>306.491986548584</v>
      </c>
      <c r="G56" s="202" t="n">
        <f aca="false">(1/(2*B3*A56*F56*1000000))*1000000000000</f>
        <v>22.5773607080371</v>
      </c>
      <c r="H56" s="201" t="n">
        <f aca="false">F56/((2*(B56+D56))/1000)</f>
        <v>296.348227183273</v>
      </c>
      <c r="I56" s="202" t="n">
        <f aca="false">(A56/H56)*1000</f>
        <v>77.6113973031327</v>
      </c>
      <c r="J56" s="201" t="n">
        <f aca="false">SQRT(B7*F56*H56)</f>
        <v>3013.77432565135</v>
      </c>
      <c r="K56" s="201" t="n">
        <f aca="false">1000*(J56/75000)</f>
        <v>40.1836576753513</v>
      </c>
      <c r="L56" s="201" t="n">
        <f aca="false">299.793/A56</f>
        <v>13.0344782608696</v>
      </c>
      <c r="M56" s="201" t="n">
        <f aca="false">(D11/L56)*100</f>
        <v>19.2841495595813</v>
      </c>
      <c r="N56" s="203" t="n">
        <f aca="false">F56/((2*(B56))/1000)</f>
        <v>553.176968972344</v>
      </c>
      <c r="O56" s="204" t="n">
        <f aca="false">H56/N56</f>
        <v>0.535720472480641</v>
      </c>
      <c r="P56" s="200" t="n">
        <f aca="false">-20*LOG10(2*$F$4/L56)</f>
        <v>8.2753902662104</v>
      </c>
    </row>
    <row r="57" customFormat="false" ht="12.75" hidden="false" customHeight="true" outlineLevel="0" collapsed="false">
      <c r="A57" s="200" t="n">
        <v>24</v>
      </c>
      <c r="B57" s="201" t="n">
        <f aca="false">((0.0000000338)*(((A57*A57)*B12)*((A57*A57)*B12)))*1000</f>
        <v>328.441979418354</v>
      </c>
      <c r="C57" s="201" t="n">
        <f aca="false">((0.000996)*SQRT(A57)*(B11/B5))*1000/(Main!C18/100)</f>
        <v>163.528817066622</v>
      </c>
      <c r="D57" s="201" t="n">
        <f aca="false">C57+B6</f>
        <v>243.528817066622</v>
      </c>
      <c r="E57" s="202" t="n">
        <f aca="false">10*LOG(B57/(B57+D57))</f>
        <v>-2.40915194456109</v>
      </c>
      <c r="F57" s="201" t="n">
        <f aca="false">2*B3*A57*B17*1000000</f>
        <v>319.817725094175</v>
      </c>
      <c r="G57" s="202" t="n">
        <f aca="false">(1/(2*B3*A57*F57*1000000))*1000000000000</f>
        <v>20.7351107891521</v>
      </c>
      <c r="H57" s="201" t="n">
        <f aca="false">F57/((2*(B57+D57))/1000)</f>
        <v>279.57522224876</v>
      </c>
      <c r="I57" s="202" t="n">
        <f aca="false">(A57/H57)*1000</f>
        <v>85.844517289323</v>
      </c>
      <c r="J57" s="201" t="n">
        <f aca="false">SQRT(B7*F57*H57)</f>
        <v>2990.20252779468</v>
      </c>
      <c r="K57" s="201" t="n">
        <f aca="false">1000*(J57/75000)</f>
        <v>39.8693670372624</v>
      </c>
      <c r="L57" s="201" t="n">
        <f aca="false">299.793/A57</f>
        <v>12.491375</v>
      </c>
      <c r="M57" s="201" t="n">
        <f aca="false">(D11/L57)*100</f>
        <v>20.1225908447804</v>
      </c>
      <c r="N57" s="203" t="n">
        <f aca="false">F57/((2*(B57))/1000)</f>
        <v>486.870962202438</v>
      </c>
      <c r="O57" s="204" t="n">
        <f aca="false">H57/N57</f>
        <v>0.574228582012895</v>
      </c>
      <c r="P57" s="200" t="n">
        <f aca="false">-20*LOG10(2*$F$4/L57)</f>
        <v>7.90572215233014</v>
      </c>
    </row>
    <row r="58" s="209" customFormat="true" ht="12.75" hidden="false" customHeight="true" outlineLevel="0" collapsed="false">
      <c r="A58" s="205" t="n">
        <v>25</v>
      </c>
      <c r="B58" s="206" t="n">
        <f aca="false">((0.0000000338)*(((A58*A58)*B12)*((A58*A58)*B12)))*1000</f>
        <v>386.699605186314</v>
      </c>
      <c r="C58" s="206" t="n">
        <f aca="false">((0.000996)*SQRT(A58)*(B11/B5))*1000/(Main!C18/100)</f>
        <v>166.900900022565</v>
      </c>
      <c r="D58" s="206" t="n">
        <f aca="false">C58+B6</f>
        <v>246.900900022565</v>
      </c>
      <c r="E58" s="206" t="n">
        <f aca="false">10*LOG(B58/(B58+D58))</f>
        <v>-2.14441786205382</v>
      </c>
      <c r="F58" s="206" t="n">
        <f aca="false">2*B3*A58*B17*1000000</f>
        <v>333.143463639766</v>
      </c>
      <c r="G58" s="206" t="n">
        <f aca="false">(1/(2*B3*A58*F58*1000000))*1000000000000</f>
        <v>19.1094781032826</v>
      </c>
      <c r="H58" s="206" t="n">
        <f aca="false">F58/((2*(B58+D58))/1000)</f>
        <v>262.897094384369</v>
      </c>
      <c r="I58" s="206" t="n">
        <f aca="false">(A58/H58)*1000</f>
        <v>95.094242325283</v>
      </c>
      <c r="J58" s="206" t="n">
        <f aca="false">SQRT(B7*F58*H58)</f>
        <v>2959.43319917918</v>
      </c>
      <c r="K58" s="206" t="n">
        <f aca="false">1000*(J58/75000)</f>
        <v>39.4591093223891</v>
      </c>
      <c r="L58" s="206" t="n">
        <f aca="false">299.793/A58</f>
        <v>11.99172</v>
      </c>
      <c r="M58" s="206" t="n">
        <f aca="false">(D11/L58)*100</f>
        <v>20.9610321299796</v>
      </c>
      <c r="N58" s="207" t="n">
        <f aca="false">F58/((2*(B58))/1000)</f>
        <v>430.752267615136</v>
      </c>
      <c r="O58" s="208" t="n">
        <f aca="false">H58/N58</f>
        <v>0.610320859922343</v>
      </c>
      <c r="P58" s="200" t="n">
        <f aca="false">-20*LOG10(2*$F$4/L58)</f>
        <v>7.55114681312151</v>
      </c>
    </row>
    <row r="59" customFormat="false" ht="12.75" hidden="false" customHeight="true" outlineLevel="0" collapsed="false">
      <c r="A59" s="200" t="n">
        <v>26</v>
      </c>
      <c r="B59" s="201" t="n">
        <f aca="false">((0.0000000338)*(((A59*A59)*B12)*((A59*A59)*B12)))*1000</f>
        <v>452.38384327583</v>
      </c>
      <c r="C59" s="201" t="n">
        <f aca="false">((0.000996)*SQRT(A59)*(B11/B5))*1000/(Main!C18/100)</f>
        <v>170.206189210252</v>
      </c>
      <c r="D59" s="201" t="n">
        <f aca="false">C59+B6</f>
        <v>250.206189210252</v>
      </c>
      <c r="E59" s="202" t="n">
        <f aca="false">10*LOG(B59/(B59+D59))</f>
        <v>-1.91194898383621</v>
      </c>
      <c r="F59" s="201" t="n">
        <f aca="false">2*B3*A59*B17*1000000</f>
        <v>346.469202185356</v>
      </c>
      <c r="G59" s="202" t="n">
        <f aca="false">(1/(2*B3*A59*F59*1000000))*1000000000000</f>
        <v>17.6677867079166</v>
      </c>
      <c r="H59" s="201" t="n">
        <f aca="false">F59/((2*(B59+D59))/1000)</f>
        <v>246.565697039133</v>
      </c>
      <c r="I59" s="202" t="n">
        <f aca="false">(A59/H59)*1000</f>
        <v>105.448569335553</v>
      </c>
      <c r="J59" s="201" t="n">
        <f aca="false">SQRT(B7*F59*H59)</f>
        <v>2922.79695393684</v>
      </c>
      <c r="K59" s="201" t="n">
        <f aca="false">1000*(J59/75000)</f>
        <v>38.9706260524912</v>
      </c>
      <c r="L59" s="201" t="n">
        <f aca="false">299.793/A59</f>
        <v>11.5305</v>
      </c>
      <c r="M59" s="201" t="n">
        <f aca="false">(D11/L59)*100</f>
        <v>21.7994734151788</v>
      </c>
      <c r="N59" s="203" t="n">
        <f aca="false">F59/((2*(B59))/1000)</f>
        <v>382.937197399096</v>
      </c>
      <c r="O59" s="204" t="n">
        <f aca="false">H59/N59</f>
        <v>0.643880246457655</v>
      </c>
      <c r="P59" s="200" t="n">
        <f aca="false">-20*LOG10(2*$F$4/L59)</f>
        <v>7.2104800271459</v>
      </c>
    </row>
    <row r="60" customFormat="false" ht="12.75" hidden="false" customHeight="true" outlineLevel="0" collapsed="false">
      <c r="A60" s="200" t="n">
        <v>27</v>
      </c>
      <c r="B60" s="201" t="n">
        <f aca="false">((0.0000000338)*(((A60*A60)*B12)*((A60*A60)*B12)))*1000</f>
        <v>526.100543692339</v>
      </c>
      <c r="C60" s="201" t="n">
        <f aca="false">((0.000996)*SQRT(A60)*(B11/B5))*1000/(Main!C18/100)</f>
        <v>173.448503200834</v>
      </c>
      <c r="D60" s="201" t="n">
        <f aca="false">C60+B6</f>
        <v>253.448503200834</v>
      </c>
      <c r="E60" s="202" t="n">
        <f aca="false">10*LOG(B60/(B60+D60))</f>
        <v>-1.70774694279779</v>
      </c>
      <c r="F60" s="201" t="n">
        <f aca="false">2*B3*A60*B17*1000000</f>
        <v>359.794940730947</v>
      </c>
      <c r="G60" s="202" t="n">
        <f aca="false">(1/(2*B3*A60*F60*1000000))*1000000000000</f>
        <v>16.383297413651</v>
      </c>
      <c r="H60" s="201" t="n">
        <f aca="false">F60/((2*(B60+D60))/1000)</f>
        <v>230.771201738286</v>
      </c>
      <c r="I60" s="202" t="n">
        <f aca="false">(A60/H60)*1000</f>
        <v>116.999000727223</v>
      </c>
      <c r="J60" s="201" t="n">
        <f aca="false">SQRT(B7*F60*H60)</f>
        <v>2881.4980626722</v>
      </c>
      <c r="K60" s="201" t="n">
        <f aca="false">1000*(J60/75000)</f>
        <v>38.4199741689626</v>
      </c>
      <c r="L60" s="201" t="n">
        <f aca="false">299.793/A60</f>
        <v>11.1034444444444</v>
      </c>
      <c r="M60" s="201" t="n">
        <f aca="false">(D11/L60)*100</f>
        <v>22.637914700378</v>
      </c>
      <c r="N60" s="203" t="n">
        <f aca="false">F60/((2*(B60))/1000)</f>
        <v>341.945037925443</v>
      </c>
      <c r="O60" s="204" t="n">
        <f aca="false">H60/N60</f>
        <v>0.674878053907023</v>
      </c>
      <c r="P60" s="200" t="n">
        <f aca="false">-20*LOG10(2*$F$4/L60)</f>
        <v>6.88267170338252</v>
      </c>
    </row>
    <row r="61" s="209" customFormat="true" ht="12.75" hidden="false" customHeight="true" outlineLevel="0" collapsed="false">
      <c r="A61" s="205" t="n">
        <v>28</v>
      </c>
      <c r="B61" s="206" t="n">
        <f aca="false">((0.0000000338)*(((A61*A61)*B12)*((A61*A61)*B12)))*1000</f>
        <v>608.479315265022</v>
      </c>
      <c r="C61" s="206" t="n">
        <f aca="false">((0.000996)*SQRT(A61)*(B11/B5))*1000/(Main!C18/100)</f>
        <v>176.631310021025</v>
      </c>
      <c r="D61" s="206" t="n">
        <f aca="false">C61+B6</f>
        <v>256.631310021025</v>
      </c>
      <c r="E61" s="206" t="n">
        <f aca="false">10*LOG(B61/(B61+D61))</f>
        <v>-1.52825826706902</v>
      </c>
      <c r="F61" s="206" t="n">
        <f aca="false">2*B3*A61*B17*1000000</f>
        <v>373.120679276537</v>
      </c>
      <c r="G61" s="206" t="n">
        <f aca="false">(1/(2*B3*A61*F61*1000000))*1000000000000</f>
        <v>15.2339589471321</v>
      </c>
      <c r="H61" s="206" t="n">
        <f aca="false">F61/((2*(B61+D61))/1000)</f>
        <v>215.649113749566</v>
      </c>
      <c r="I61" s="206" t="n">
        <f aca="false">(A61/H61)*1000</f>
        <v>129.840552150456</v>
      </c>
      <c r="J61" s="206" t="n">
        <f aca="false">SQRT(B7*F61*H61)</f>
        <v>2836.60261241544</v>
      </c>
      <c r="K61" s="206" t="n">
        <f aca="false">1000*(J61/75000)</f>
        <v>37.8213681655393</v>
      </c>
      <c r="L61" s="206" t="n">
        <f aca="false">299.793/A61</f>
        <v>10.7068928571429</v>
      </c>
      <c r="M61" s="206" t="n">
        <f aca="false">(D11/L61)*100</f>
        <v>23.4763559855772</v>
      </c>
      <c r="N61" s="207" t="n">
        <f aca="false">F61/((2*(B61))/1000)</f>
        <v>306.60095578929</v>
      </c>
      <c r="O61" s="208" t="n">
        <f aca="false">H61/N61</f>
        <v>0.703354342762614</v>
      </c>
      <c r="P61" s="200" t="n">
        <f aca="false">-20*LOG10(2*$F$4/L61)</f>
        <v>6.56678635971788</v>
      </c>
    </row>
    <row r="62" s="209" customFormat="true" ht="12.75" hidden="false" customHeight="true" outlineLevel="0" collapsed="false">
      <c r="A62" s="205" t="n">
        <v>29</v>
      </c>
      <c r="B62" s="206" t="n">
        <f aca="false">((0.0000000338)*(((A62*A62)*B12)*((A62*A62)*B12)))*1000</f>
        <v>700.173525646801</v>
      </c>
      <c r="C62" s="206" t="n">
        <f aca="false">((0.000996)*SQRT(A62)*(B11/B5))*1000/(Main!C18/100)</f>
        <v>179.757770616119</v>
      </c>
      <c r="D62" s="206" t="n">
        <f aca="false">C62+B6</f>
        <v>259.757770616119</v>
      </c>
      <c r="E62" s="206" t="n">
        <f aca="false">10*LOG(B62/(B62+D62))</f>
        <v>-1.37034465464138</v>
      </c>
      <c r="F62" s="206" t="n">
        <f aca="false">2*B3*A62*B17*1000000</f>
        <v>386.446417822128</v>
      </c>
      <c r="G62" s="206" t="n">
        <f aca="false">(1/(2*B3*A62*F62*1000000))*1000000000000</f>
        <v>14.2014551897165</v>
      </c>
      <c r="H62" s="206" t="n">
        <f aca="false">F62/((2*(B62+D62))/1000)</f>
        <v>201.288581446709</v>
      </c>
      <c r="I62" s="206" t="n">
        <f aca="false">(A62/H62)*1000</f>
        <v>144.07175902165</v>
      </c>
      <c r="J62" s="206" t="n">
        <f aca="false">SQRT(B7*F62*H62)</f>
        <v>2789.03659439202</v>
      </c>
      <c r="K62" s="206" t="n">
        <f aca="false">1000*(J62/75000)</f>
        <v>37.1871545918936</v>
      </c>
      <c r="L62" s="206" t="n">
        <f aca="false">299.793/A62</f>
        <v>10.3376896551724</v>
      </c>
      <c r="M62" s="206" t="n">
        <f aca="false">(D11/L62)*100</f>
        <v>24.3147972707764</v>
      </c>
      <c r="N62" s="207" t="n">
        <f aca="false">F62/((2*(B62))/1000)</f>
        <v>275.964745642974</v>
      </c>
      <c r="O62" s="208" t="n">
        <f aca="false">H62/N62</f>
        <v>0.729399623048676</v>
      </c>
      <c r="P62" s="200" t="n">
        <f aca="false">-20*LOG10(2*$F$4/L62)</f>
        <v>6.26198702858314</v>
      </c>
    </row>
    <row r="63" s="209" customFormat="true" ht="12.75" hidden="false" customHeight="true" outlineLevel="0" collapsed="false">
      <c r="A63" s="205" t="n">
        <v>30</v>
      </c>
      <c r="B63" s="206" t="n">
        <f aca="false">((0.0000000338)*(((A63*A63)*B12)*((A63*A63)*B12)))*1000</f>
        <v>801.860301314342</v>
      </c>
      <c r="C63" s="206" t="n">
        <f aca="false">((0.000996)*SQRT(A63)*(B11/B5))*1000/(Main!C18/100)</f>
        <v>182.830775620547</v>
      </c>
      <c r="D63" s="206" t="n">
        <f aca="false">C63+B6</f>
        <v>262.830775620547</v>
      </c>
      <c r="E63" s="206" t="n">
        <f aca="false">10*LOG(B63/(B63+D63))</f>
        <v>-1.23124901449102</v>
      </c>
      <c r="F63" s="206" t="n">
        <f aca="false">2*B3*A63*B17*1000000</f>
        <v>399.772156367719</v>
      </c>
      <c r="G63" s="206" t="n">
        <f aca="false">(1/(2*B3*A63*F63*1000000))*1000000000000</f>
        <v>13.2704709050573</v>
      </c>
      <c r="H63" s="206" t="n">
        <f aca="false">F63/((2*(B63+D63))/1000)</f>
        <v>187.740916134383</v>
      </c>
      <c r="I63" s="206" t="n">
        <f aca="false">(A63/H63)*1000</f>
        <v>159.794682042173</v>
      </c>
      <c r="J63" s="206" t="n">
        <f aca="false">SQRT(B7*F63*H63)</f>
        <v>2739.59104396064</v>
      </c>
      <c r="K63" s="206" t="n">
        <f aca="false">1000*(J63/75000)</f>
        <v>36.5278805861419</v>
      </c>
      <c r="L63" s="206" t="n">
        <f aca="false">299.793/A63</f>
        <v>9.9931</v>
      </c>
      <c r="M63" s="206" t="n">
        <f aca="false">(D11/L63)*100</f>
        <v>25.1532385559756</v>
      </c>
      <c r="N63" s="207" t="n">
        <f aca="false">F63/((2*(B63))/1000)</f>
        <v>249.277932647648</v>
      </c>
      <c r="O63" s="208" t="n">
        <f aca="false">H63/N63</f>
        <v>0.753138932677821</v>
      </c>
      <c r="P63" s="200" t="n">
        <f aca="false">-20*LOG10(2*$F$4/L63)</f>
        <v>5.96752189216901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154</TotalTime>
  <Application>LibreOffice/6.1.4.2$Windows_X86_64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2004-04-05T10:56:00Z</dcterms:created>
  <dc:creator>Stephen R. Yates - AA5TB</dc:creator>
  <dc:description/>
  <dc:language>en-US</dc:language>
  <cp:lastModifiedBy/>
  <cp:lastPrinted>2005-09-21T09:58:07Z</cp:lastPrinted>
  <dcterms:modified xsi:type="dcterms:W3CDTF">2019-05-04T23:09:51Z</dcterms:modified>
  <cp:revision>4</cp:revision>
  <dc:subject/>
  <dc:title>Small Magnetic Loop Antenna Calculator</dc:title>
</cp:coreProperties>
</file>